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2"/>
  <workbookPr/>
  <mc:AlternateContent xmlns:mc="http://schemas.openxmlformats.org/markup-compatibility/2006">
    <mc:Choice Requires="x15">
      <x15ac:absPath xmlns:x15ac="http://schemas.microsoft.com/office/spreadsheetml/2010/11/ac" url="https://livewarwickac-my.sharepoint.com/personal/u5501704_live_warwick_ac_uk/Documents/"/>
    </mc:Choice>
  </mc:AlternateContent>
  <xr:revisionPtr revIDLastSave="0" documentId="8_{E1455F2C-CC8B-4AD8-80B3-7E5E6194E3E2}" xr6:coauthVersionLast="47" xr6:coauthVersionMax="47" xr10:uidLastSave="{00000000-0000-0000-0000-000000000000}"/>
  <bookViews>
    <workbookView xWindow="0" yWindow="0" windowWidth="28800" windowHeight="18000" firstSheet="1" activeTab="1" xr2:uid="{9BEFD041-FA85-8944-9DD0-2A8D44BE0376}"/>
  </bookViews>
  <sheets>
    <sheet name="Raw Data" sheetId="1" r:id="rId1"/>
    <sheet name="PoC Calcs + Stats" sheetId="2" r:id="rId2"/>
  </sheets>
  <externalReferences>
    <externalReference r:id="rId3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30" i="2" l="1"/>
  <c r="W33" i="2"/>
  <c r="U36" i="2"/>
  <c r="V36" i="2"/>
  <c r="W36" i="2"/>
  <c r="T36" i="2"/>
  <c r="U33" i="2"/>
  <c r="V33" i="2"/>
  <c r="T33" i="2"/>
  <c r="U30" i="2"/>
  <c r="V30" i="2"/>
  <c r="T30" i="2"/>
  <c r="U26" i="2"/>
  <c r="V26" i="2"/>
  <c r="W26" i="2"/>
  <c r="T26" i="2"/>
  <c r="R24" i="2"/>
  <c r="R25" i="2"/>
  <c r="R26" i="2"/>
  <c r="T54" i="2"/>
  <c r="T53" i="2"/>
  <c r="U35" i="2"/>
  <c r="V35" i="2"/>
  <c r="W35" i="2"/>
  <c r="T35" i="2"/>
  <c r="U32" i="2"/>
  <c r="V32" i="2"/>
  <c r="W32" i="2"/>
  <c r="T32" i="2"/>
  <c r="U29" i="2"/>
  <c r="V29" i="2"/>
  <c r="W29" i="2"/>
  <c r="T29" i="2"/>
  <c r="U25" i="2"/>
  <c r="V25" i="2"/>
  <c r="W25" i="2"/>
  <c r="T25" i="2"/>
  <c r="U49" i="2"/>
  <c r="V49" i="2"/>
  <c r="W49" i="2"/>
  <c r="U50" i="2"/>
  <c r="V50" i="2"/>
  <c r="W50" i="2"/>
  <c r="U51" i="2"/>
  <c r="V51" i="2"/>
  <c r="W51" i="2"/>
  <c r="T50" i="2"/>
  <c r="T51" i="2"/>
  <c r="T49" i="2"/>
  <c r="U45" i="2"/>
  <c r="V45" i="2"/>
  <c r="W45" i="2"/>
  <c r="U46" i="2"/>
  <c r="V46" i="2"/>
  <c r="W46" i="2"/>
  <c r="U47" i="2"/>
  <c r="V47" i="2"/>
  <c r="W47" i="2"/>
  <c r="T46" i="2"/>
  <c r="T47" i="2"/>
  <c r="T45" i="2"/>
  <c r="U41" i="2"/>
  <c r="V41" i="2"/>
  <c r="W41" i="2"/>
  <c r="U42" i="2"/>
  <c r="V42" i="2"/>
  <c r="W42" i="2"/>
  <c r="U43" i="2"/>
  <c r="V43" i="2"/>
  <c r="W43" i="2"/>
  <c r="T42" i="2"/>
  <c r="T43" i="2"/>
  <c r="T41" i="2"/>
  <c r="U37" i="2"/>
  <c r="V37" i="2"/>
  <c r="W37" i="2"/>
  <c r="U38" i="2"/>
  <c r="V38" i="2"/>
  <c r="W38" i="2"/>
  <c r="U39" i="2"/>
  <c r="V39" i="2"/>
  <c r="W39" i="2"/>
  <c r="T38" i="2"/>
  <c r="T39" i="2"/>
  <c r="T37" i="2"/>
  <c r="T34" i="2"/>
  <c r="T31" i="2"/>
  <c r="T28" i="2"/>
  <c r="U34" i="2"/>
  <c r="V34" i="2"/>
  <c r="W34" i="2"/>
  <c r="U31" i="2"/>
  <c r="V31" i="2"/>
  <c r="W31" i="2"/>
  <c r="U28" i="2"/>
  <c r="V28" i="2"/>
  <c r="W28" i="2"/>
  <c r="U24" i="2"/>
  <c r="V24" i="2"/>
  <c r="W24" i="2"/>
  <c r="T24" i="2"/>
  <c r="U15" i="2"/>
  <c r="V15" i="2"/>
  <c r="W15" i="2"/>
  <c r="U16" i="2"/>
  <c r="V16" i="2"/>
  <c r="W16" i="2"/>
  <c r="U17" i="2"/>
  <c r="V17" i="2"/>
  <c r="W17" i="2"/>
  <c r="U11" i="2"/>
  <c r="V11" i="2"/>
  <c r="W11" i="2"/>
  <c r="U12" i="2"/>
  <c r="V12" i="2"/>
  <c r="W12" i="2"/>
  <c r="U13" i="2"/>
  <c r="V13" i="2"/>
  <c r="W13" i="2"/>
  <c r="U7" i="2"/>
  <c r="V7" i="2"/>
  <c r="W7" i="2"/>
  <c r="U8" i="2"/>
  <c r="V8" i="2"/>
  <c r="W8" i="2"/>
  <c r="U9" i="2"/>
  <c r="V9" i="2"/>
  <c r="W9" i="2"/>
  <c r="U3" i="2"/>
  <c r="V3" i="2"/>
  <c r="W3" i="2"/>
  <c r="U4" i="2"/>
  <c r="V4" i="2"/>
  <c r="W4" i="2"/>
  <c r="U5" i="2"/>
  <c r="V5" i="2"/>
  <c r="W5" i="2"/>
  <c r="T17" i="2"/>
  <c r="T16" i="2"/>
  <c r="T15" i="2"/>
  <c r="T13" i="2"/>
  <c r="T12" i="2"/>
  <c r="T11" i="2"/>
  <c r="T9" i="2"/>
  <c r="T8" i="2"/>
  <c r="T7" i="2"/>
  <c r="T5" i="2"/>
  <c r="T4" i="2"/>
  <c r="T3" i="2"/>
  <c r="E48" i="2"/>
  <c r="E49" i="2"/>
  <c r="E47" i="2"/>
  <c r="D48" i="2"/>
  <c r="D49" i="2"/>
  <c r="D47" i="2"/>
  <c r="D43" i="2"/>
  <c r="C43" i="2"/>
  <c r="C44" i="2"/>
  <c r="D44" i="2" s="1"/>
  <c r="D38" i="2"/>
  <c r="C39" i="2" s="1"/>
  <c r="D39" i="2"/>
  <c r="C40" i="2" s="1"/>
  <c r="D40" i="2"/>
  <c r="C41" i="2" s="1"/>
  <c r="D41" i="2"/>
  <c r="C42" i="2" s="1"/>
  <c r="D42" i="2"/>
  <c r="C38" i="2"/>
  <c r="D37" i="2"/>
  <c r="J12" i="1"/>
  <c r="J13" i="1"/>
  <c r="J14" i="1"/>
  <c r="J15" i="1"/>
  <c r="J16" i="1"/>
  <c r="J17" i="1"/>
  <c r="J19" i="1"/>
  <c r="J20" i="1"/>
  <c r="J21" i="1"/>
  <c r="J22" i="1"/>
  <c r="J23" i="1"/>
  <c r="J24" i="1"/>
  <c r="J26" i="1"/>
  <c r="J27" i="1"/>
  <c r="J28" i="1"/>
  <c r="J29" i="1"/>
  <c r="J30" i="1"/>
  <c r="J31" i="1"/>
  <c r="J33" i="1"/>
  <c r="J34" i="1"/>
  <c r="J35" i="1"/>
  <c r="J36" i="1"/>
  <c r="J37" i="1"/>
  <c r="J38" i="1"/>
  <c r="L4" i="2"/>
  <c r="M4" i="2"/>
  <c r="N4" i="2"/>
  <c r="O4" i="2"/>
  <c r="L5" i="2"/>
  <c r="M5" i="2"/>
  <c r="N5" i="2"/>
  <c r="O5" i="2"/>
  <c r="L6" i="2"/>
  <c r="M6" i="2"/>
  <c r="N6" i="2"/>
  <c r="O6" i="2"/>
  <c r="L7" i="2"/>
  <c r="M7" i="2"/>
  <c r="N7" i="2"/>
  <c r="O7" i="2"/>
  <c r="L8" i="2"/>
  <c r="M8" i="2"/>
  <c r="N8" i="2"/>
  <c r="O8" i="2"/>
  <c r="L10" i="2"/>
  <c r="M10" i="2"/>
  <c r="N10" i="2"/>
  <c r="O10" i="2"/>
  <c r="L11" i="2"/>
  <c r="M11" i="2"/>
  <c r="N11" i="2"/>
  <c r="O11" i="2"/>
  <c r="L12" i="2"/>
  <c r="M12" i="2"/>
  <c r="N12" i="2"/>
  <c r="O12" i="2"/>
  <c r="L13" i="2"/>
  <c r="M13" i="2"/>
  <c r="N13" i="2"/>
  <c r="O13" i="2"/>
  <c r="L14" i="2"/>
  <c r="M14" i="2"/>
  <c r="N14" i="2"/>
  <c r="O14" i="2"/>
  <c r="L15" i="2"/>
  <c r="M15" i="2"/>
  <c r="N15" i="2"/>
  <c r="O15" i="2"/>
  <c r="L17" i="2"/>
  <c r="M17" i="2"/>
  <c r="N17" i="2"/>
  <c r="O17" i="2"/>
  <c r="L18" i="2"/>
  <c r="M18" i="2"/>
  <c r="N18" i="2"/>
  <c r="O18" i="2"/>
  <c r="L19" i="2"/>
  <c r="M19" i="2"/>
  <c r="N19" i="2"/>
  <c r="O19" i="2"/>
  <c r="L20" i="2"/>
  <c r="M20" i="2"/>
  <c r="N20" i="2"/>
  <c r="O20" i="2"/>
  <c r="L21" i="2"/>
  <c r="M21" i="2"/>
  <c r="N21" i="2"/>
  <c r="O21" i="2"/>
  <c r="L22" i="2"/>
  <c r="M22" i="2"/>
  <c r="N22" i="2"/>
  <c r="O22" i="2"/>
  <c r="L24" i="2"/>
  <c r="M24" i="2"/>
  <c r="N24" i="2"/>
  <c r="O24" i="2"/>
  <c r="L25" i="2"/>
  <c r="M25" i="2"/>
  <c r="N25" i="2"/>
  <c r="O25" i="2"/>
  <c r="L26" i="2"/>
  <c r="M26" i="2"/>
  <c r="N26" i="2"/>
  <c r="O26" i="2"/>
  <c r="L27" i="2"/>
  <c r="M27" i="2"/>
  <c r="N27" i="2"/>
  <c r="O27" i="2"/>
  <c r="L28" i="2"/>
  <c r="M28" i="2"/>
  <c r="N28" i="2"/>
  <c r="O28" i="2"/>
  <c r="L29" i="2"/>
  <c r="M29" i="2"/>
  <c r="N29" i="2"/>
  <c r="O29" i="2"/>
  <c r="M3" i="2"/>
  <c r="N3" i="2"/>
  <c r="O3" i="2"/>
  <c r="L3" i="2"/>
  <c r="E4" i="2"/>
  <c r="E5" i="2"/>
  <c r="E6" i="2"/>
  <c r="E7" i="2"/>
  <c r="E8" i="2"/>
  <c r="E10" i="2"/>
  <c r="E11" i="2"/>
  <c r="E12" i="2"/>
  <c r="E13" i="2"/>
  <c r="E14" i="2"/>
  <c r="E15" i="2"/>
  <c r="E17" i="2"/>
  <c r="E18" i="2"/>
  <c r="E19" i="2"/>
  <c r="E20" i="2"/>
  <c r="E21" i="2"/>
  <c r="E22" i="2"/>
  <c r="E24" i="2"/>
  <c r="E25" i="2"/>
  <c r="E26" i="2"/>
  <c r="E27" i="2"/>
  <c r="E28" i="2"/>
  <c r="E29" i="2"/>
  <c r="E3" i="2"/>
  <c r="E55" i="1" a="1"/>
  <c r="E55" i="1"/>
  <c r="E50" i="1" a="1"/>
  <c r="E50" i="1"/>
  <c r="H13" i="1"/>
  <c r="H14" i="1"/>
  <c r="H15" i="1"/>
  <c r="H16" i="1"/>
  <c r="H17" i="1"/>
  <c r="H19" i="1"/>
  <c r="H20" i="1"/>
  <c r="H21" i="1"/>
  <c r="H22" i="1"/>
  <c r="H23" i="1"/>
  <c r="H24" i="1"/>
  <c r="H26" i="1"/>
  <c r="H27" i="1"/>
  <c r="H28" i="1"/>
  <c r="H29" i="1"/>
  <c r="H30" i="1"/>
  <c r="H31" i="1"/>
  <c r="H33" i="1"/>
  <c r="H34" i="1"/>
  <c r="H35" i="1"/>
  <c r="H36" i="1"/>
  <c r="H37" i="1"/>
  <c r="H38" i="1"/>
  <c r="H12" i="1"/>
  <c r="C38" i="1"/>
  <c r="C37" i="1"/>
  <c r="C36" i="1"/>
  <c r="C35" i="1"/>
  <c r="C34" i="1"/>
  <c r="C33" i="1"/>
  <c r="C31" i="1"/>
  <c r="C30" i="1"/>
  <c r="C29" i="1"/>
  <c r="C28" i="1"/>
  <c r="C27" i="1"/>
  <c r="C26" i="1"/>
  <c r="C24" i="1"/>
  <c r="C23" i="1"/>
  <c r="C22" i="1"/>
  <c r="C21" i="1"/>
  <c r="C20" i="1"/>
  <c r="C19" i="1"/>
  <c r="C17" i="1"/>
  <c r="C16" i="1"/>
  <c r="C15" i="1"/>
  <c r="C14" i="1"/>
  <c r="C13" i="1"/>
  <c r="C12" i="1"/>
  <c r="D9" i="1"/>
  <c r="D8" i="1"/>
  <c r="D7" i="1"/>
  <c r="D6" i="1"/>
  <c r="D5" i="1"/>
  <c r="D4" i="1"/>
  <c r="D3" i="1"/>
  <c r="D2" i="1"/>
  <c r="H2" i="1" l="1"/>
  <c r="G2" i="1" s="1"/>
  <c r="H3" i="1"/>
  <c r="G3" i="1" s="1"/>
  <c r="H4" i="1"/>
  <c r="G4" i="1" s="1"/>
  <c r="H5" i="1"/>
  <c r="G5" i="1" s="1"/>
  <c r="H6" i="1"/>
  <c r="G6" i="1" s="1"/>
  <c r="H7" i="1"/>
  <c r="G7" i="1" s="1"/>
  <c r="H8" i="1"/>
  <c r="G8" i="1" s="1"/>
  <c r="H9" i="1"/>
  <c r="G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<sst xmlns="http://schemas.openxmlformats.org/spreadsheetml/2006/main" count="149" uniqueCount="95">
  <si>
    <t>Estimate ppb</t>
  </si>
  <si>
    <t>weight of multi element stock (g)</t>
  </si>
  <si>
    <t>weight HNO3 (g)</t>
  </si>
  <si>
    <t>total weight of solution</t>
  </si>
  <si>
    <t>144 Nd (no gas) ppb from instrument</t>
  </si>
  <si>
    <t>146 Nd (no gas) ppb from instrument</t>
  </si>
  <si>
    <t xml:space="preserve">Actual standards </t>
  </si>
  <si>
    <t>(Calculation box)</t>
  </si>
  <si>
    <t>144 Nd [No gas] CPS</t>
  </si>
  <si>
    <t>146 Nd [No gas] CPS</t>
  </si>
  <si>
    <t>Sample</t>
  </si>
  <si>
    <t>Conc of Nd 144 [No gas] from graph (ppb)</t>
  </si>
  <si>
    <t>Conc of Nd 146 [No gas] from graph (ppb)</t>
  </si>
  <si>
    <t>LanM Tar A1</t>
  </si>
  <si>
    <t>LanM Tar B1</t>
  </si>
  <si>
    <t>LanM Tar A2</t>
  </si>
  <si>
    <t>LanM Tar B2</t>
  </si>
  <si>
    <t>LanM Tar A3</t>
  </si>
  <si>
    <t>LanM Tar B3</t>
  </si>
  <si>
    <t>LanM Tar IPTG A1</t>
  </si>
  <si>
    <t>LanM Tar IPTG B1</t>
  </si>
  <si>
    <t>LanM Tar IPTG A2</t>
  </si>
  <si>
    <t>LanM Tar IPTG B2</t>
  </si>
  <si>
    <t>LanM Tar IPTG A3</t>
  </si>
  <si>
    <t>LanM Tar IPTG B3</t>
  </si>
  <si>
    <t>Tar A1</t>
  </si>
  <si>
    <t>Tar B1</t>
  </si>
  <si>
    <t>Tar A2</t>
  </si>
  <si>
    <t>Tar B2</t>
  </si>
  <si>
    <t>Tar A3</t>
  </si>
  <si>
    <t>Tar B3</t>
  </si>
  <si>
    <t>WT A1</t>
  </si>
  <si>
    <t>WT B1</t>
  </si>
  <si>
    <t>WT A2</t>
  </si>
  <si>
    <t>WT B2</t>
  </si>
  <si>
    <t>WT A3</t>
  </si>
  <si>
    <t>WT B3</t>
  </si>
  <si>
    <t>144 Nd [No gas]</t>
  </si>
  <si>
    <t>m</t>
  </si>
  <si>
    <t>c</t>
  </si>
  <si>
    <t>146 Nd [No gas]</t>
  </si>
  <si>
    <t>Instrument</t>
  </si>
  <si>
    <t>Calculation</t>
  </si>
  <si>
    <t>Instrument - Corrected to original sample</t>
  </si>
  <si>
    <t>Instrument - Corrected to original sample, Means</t>
  </si>
  <si>
    <t>total weight of solution (g)</t>
  </si>
  <si>
    <t>Dilution Factor</t>
  </si>
  <si>
    <t>144 Nd (no gas) ppm from instrument</t>
  </si>
  <si>
    <t>146 Nd (no gas) ppm from instrument</t>
  </si>
  <si>
    <t>Conc of Nd 144 [No gas] from graph (ppm)</t>
  </si>
  <si>
    <t>Conc of Nd 146 [No gas] from graph (ppm)</t>
  </si>
  <si>
    <t>LT 1</t>
  </si>
  <si>
    <t>LT 2</t>
  </si>
  <si>
    <t>LT 3</t>
  </si>
  <si>
    <t>LTI 1</t>
  </si>
  <si>
    <t>LTI 2</t>
  </si>
  <si>
    <t>LTI 3</t>
  </si>
  <si>
    <t>T 1</t>
  </si>
  <si>
    <t>T 2</t>
  </si>
  <si>
    <t>T 3</t>
  </si>
  <si>
    <t>WT 1</t>
  </si>
  <si>
    <t>WT 2</t>
  </si>
  <si>
    <t>WT 3</t>
  </si>
  <si>
    <t>Chi squareds:</t>
  </si>
  <si>
    <t>H0: Data follows uniform distribution</t>
  </si>
  <si>
    <t>Expected ppm from calculation:</t>
  </si>
  <si>
    <t>LT Uniformity</t>
  </si>
  <si>
    <t>X^2</t>
  </si>
  <si>
    <t>X^2 for 4.166ppm</t>
  </si>
  <si>
    <t>LTI Uniformity</t>
  </si>
  <si>
    <t>T Uniformity</t>
  </si>
  <si>
    <t>PLUG DISTANCE CALCULATIONS</t>
  </si>
  <si>
    <t>WT Uniformity</t>
  </si>
  <si>
    <t>Individual length (mm)</t>
  </si>
  <si>
    <t>Cumulative distance start</t>
  </si>
  <si>
    <t>Cumulative distance end</t>
  </si>
  <si>
    <t>Plug radius</t>
  </si>
  <si>
    <t>144 Nd (no gas) Spatial representation</t>
  </si>
  <si>
    <t>1 Edge of cutter</t>
  </si>
  <si>
    <t>Histogram A</t>
  </si>
  <si>
    <t>Histogram B</t>
  </si>
  <si>
    <t>Histogram Mean</t>
  </si>
  <si>
    <t>Sample 1</t>
  </si>
  <si>
    <t>12 edge of cutter</t>
  </si>
  <si>
    <t>Sample 2</t>
  </si>
  <si>
    <t>repeated uniformity values for Excel CHISQ.TEST</t>
  </si>
  <si>
    <t>23 edge of cutter</t>
  </si>
  <si>
    <t>Sample 3</t>
  </si>
  <si>
    <t>3 Edge of cutter</t>
  </si>
  <si>
    <t xml:space="preserve">Positions from plug </t>
  </si>
  <si>
    <t>Start (mm)</t>
  </si>
  <si>
    <t>End (mm)</t>
  </si>
  <si>
    <t>Midpoint (mm)</t>
  </si>
  <si>
    <t>Length (mm)</t>
  </si>
  <si>
    <t>LTI rep A Uniformity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</si>
</sst>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00"/>
    <numFmt numFmtId="165" formatCode="0.000"/>
    <numFmt numFmtId="166" formatCode="0.000000000"/>
  </numFmts>
  <fonts count="3">
    <font>
      <sz val="12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0" fillId="2" borderId="0" xfId="0" applyFill="1"/>
    <xf numFmtId="0" fontId="0" fillId="4" borderId="0" xfId="0" applyFill="1"/>
    <xf numFmtId="0" fontId="0" fillId="6" borderId="0" xfId="0" applyFill="1"/>
    <xf numFmtId="0" fontId="0" fillId="7" borderId="0" xfId="0" applyFill="1"/>
    <xf numFmtId="0" fontId="0" fillId="8" borderId="0" xfId="0" applyFill="1"/>
    <xf numFmtId="0" fontId="0" fillId="9" borderId="0" xfId="0" applyFill="1"/>
    <xf numFmtId="0" fontId="2" fillId="0" borderId="0" xfId="0" applyFont="1"/>
    <xf numFmtId="0" fontId="1" fillId="14" borderId="0" xfId="0" applyFont="1" applyFill="1"/>
    <xf numFmtId="164" fontId="0" fillId="13" borderId="0" xfId="0" applyNumberFormat="1" applyFill="1"/>
    <xf numFmtId="164" fontId="0" fillId="0" borderId="0" xfId="0" applyNumberFormat="1"/>
    <xf numFmtId="2" fontId="0" fillId="0" borderId="0" xfId="0" applyNumberFormat="1"/>
    <xf numFmtId="165" fontId="0" fillId="8" borderId="0" xfId="0" applyNumberFormat="1" applyFill="1"/>
    <xf numFmtId="165" fontId="0" fillId="0" borderId="0" xfId="0" applyNumberFormat="1"/>
    <xf numFmtId="165" fontId="0" fillId="7" borderId="0" xfId="0" applyNumberFormat="1" applyFill="1"/>
    <xf numFmtId="165" fontId="0" fillId="6" borderId="0" xfId="0" applyNumberFormat="1" applyFill="1"/>
    <xf numFmtId="165" fontId="0" fillId="4" borderId="0" xfId="0" applyNumberFormat="1" applyFill="1"/>
    <xf numFmtId="2" fontId="0" fillId="3" borderId="0" xfId="0" applyNumberFormat="1" applyFill="1"/>
    <xf numFmtId="2" fontId="0" fillId="10" borderId="0" xfId="0" applyNumberFormat="1" applyFill="1"/>
    <xf numFmtId="2" fontId="0" fillId="11" borderId="0" xfId="0" applyNumberFormat="1" applyFill="1"/>
    <xf numFmtId="2" fontId="0" fillId="5" borderId="0" xfId="0" applyNumberFormat="1" applyFill="1"/>
    <xf numFmtId="2" fontId="0" fillId="12" borderId="0" xfId="0" applyNumberFormat="1" applyFill="1"/>
    <xf numFmtId="166" fontId="0" fillId="13" borderId="0" xfId="0" applyNumberFormat="1" applyFill="1"/>
    <xf numFmtId="166" fontId="0" fillId="0" borderId="0" xfId="0" applyNumberFormat="1"/>
    <xf numFmtId="165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ibration graphCal146 Nd [No gas] CPS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'Raw Data'!$J$1</c:f>
              <c:strCache>
                <c:ptCount val="1"/>
                <c:pt idx="0">
                  <c:v>146 Nd [No gas] CPS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forward val="2"/>
            <c:dispRSqr val="0"/>
            <c:dispEq val="0"/>
          </c:trendline>
          <c:xVal>
            <c:numRef>
              <c:f>'Raw Data'!$F$2:$F$9</c:f>
              <c:numCache>
                <c:formatCode>General</c:formatCode>
                <c:ptCount val="8"/>
                <c:pt idx="0">
                  <c:v>0</c:v>
                </c:pt>
                <c:pt idx="1">
                  <c:v>5.6879999999999997</c:v>
                </c:pt>
                <c:pt idx="2">
                  <c:v>11.706</c:v>
                </c:pt>
                <c:pt idx="3">
                  <c:v>52.57</c:v>
                </c:pt>
                <c:pt idx="4">
                  <c:v>101.812</c:v>
                </c:pt>
                <c:pt idx="5">
                  <c:v>254.631</c:v>
                </c:pt>
                <c:pt idx="6">
                  <c:v>516.41200000000003</c:v>
                </c:pt>
                <c:pt idx="7">
                  <c:v>990.30600000000004</c:v>
                </c:pt>
              </c:numCache>
            </c:numRef>
          </c:xVal>
          <c:yVal>
            <c:numRef>
              <c:f>'Raw Data'!$J$2:$J$9</c:f>
              <c:numCache>
                <c:formatCode>General</c:formatCode>
                <c:ptCount val="8"/>
                <c:pt idx="0">
                  <c:v>4508.57</c:v>
                </c:pt>
                <c:pt idx="1">
                  <c:v>1068902.49</c:v>
                </c:pt>
                <c:pt idx="2">
                  <c:v>2181686.37</c:v>
                </c:pt>
                <c:pt idx="3">
                  <c:v>9762517.9399999995</c:v>
                </c:pt>
                <c:pt idx="4">
                  <c:v>19324339.789999999</c:v>
                </c:pt>
                <c:pt idx="5">
                  <c:v>48661901.399999999</c:v>
                </c:pt>
                <c:pt idx="6">
                  <c:v>101024291.54000001</c:v>
                </c:pt>
                <c:pt idx="7">
                  <c:v>203201387.47999999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7A6-5E4C-A5D5-76E21F3588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07384367"/>
        <c:axId val="1541072543"/>
      </c:scatterChart>
      <c:valAx>
        <c:axId val="17073843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1072543"/>
        <c:crosses val="autoZero"/>
        <c:crossBetween val="midCat"/>
      </c:valAx>
      <c:valAx>
        <c:axId val="15410725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738436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144 Nd [No gas] Calibration graph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'Raw Data'!$I$1</c:f>
              <c:strCache>
                <c:ptCount val="1"/>
                <c:pt idx="0">
                  <c:v>144 Nd [No gas] CPS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9.6839134124404549E-2"/>
                  <c:y val="0.1446683515001566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'Raw Data'!$E$2:$E$9</c:f>
              <c:numCache>
                <c:formatCode>General</c:formatCode>
                <c:ptCount val="8"/>
                <c:pt idx="0">
                  <c:v>0</c:v>
                </c:pt>
                <c:pt idx="1">
                  <c:v>5.7279999999999998</c:v>
                </c:pt>
                <c:pt idx="2">
                  <c:v>11.673999999999999</c:v>
                </c:pt>
                <c:pt idx="3">
                  <c:v>52.588999999999999</c:v>
                </c:pt>
                <c:pt idx="4">
                  <c:v>101.13800000000001</c:v>
                </c:pt>
                <c:pt idx="5">
                  <c:v>253.053</c:v>
                </c:pt>
                <c:pt idx="6">
                  <c:v>513.97900000000004</c:v>
                </c:pt>
                <c:pt idx="7">
                  <c:v>991.98400000000004</c:v>
                </c:pt>
              </c:numCache>
            </c:numRef>
          </c:xVal>
          <c:yVal>
            <c:numRef>
              <c:f>'Raw Data'!$I$2:$I$9</c:f>
              <c:numCache>
                <c:formatCode>General</c:formatCode>
                <c:ptCount val="8"/>
                <c:pt idx="0">
                  <c:v>6163.69</c:v>
                </c:pt>
                <c:pt idx="1">
                  <c:v>1467893.69</c:v>
                </c:pt>
                <c:pt idx="2">
                  <c:v>2966624.19</c:v>
                </c:pt>
                <c:pt idx="3">
                  <c:v>13318314.470000001</c:v>
                </c:pt>
                <c:pt idx="4">
                  <c:v>26178508.399999999</c:v>
                </c:pt>
                <c:pt idx="5">
                  <c:v>65948252.93</c:v>
                </c:pt>
                <c:pt idx="6">
                  <c:v>137114372.33000001</c:v>
                </c:pt>
                <c:pt idx="7">
                  <c:v>277609375.63999999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46C-A54D-AA59-26B310AB1051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'Raw Data'!$E$2:$E$9</c:f>
              <c:numCache>
                <c:formatCode>General</c:formatCode>
                <c:ptCount val="8"/>
                <c:pt idx="0">
                  <c:v>0</c:v>
                </c:pt>
                <c:pt idx="1">
                  <c:v>5.7279999999999998</c:v>
                </c:pt>
                <c:pt idx="2">
                  <c:v>11.673999999999999</c:v>
                </c:pt>
                <c:pt idx="3">
                  <c:v>52.588999999999999</c:v>
                </c:pt>
                <c:pt idx="4">
                  <c:v>101.13800000000001</c:v>
                </c:pt>
                <c:pt idx="5">
                  <c:v>253.053</c:v>
                </c:pt>
                <c:pt idx="6">
                  <c:v>513.97900000000004</c:v>
                </c:pt>
                <c:pt idx="7">
                  <c:v>991.98400000000004</c:v>
                </c:pt>
              </c:numCache>
            </c:numRef>
          </c:xVal>
          <c:yVal>
            <c:numRef>
              <c:f>'[1]iGEM_260924_BATCH with CPS'!$P$3:$P$10</c:f>
              <c:numCache>
                <c:formatCode>General</c:formatCode>
                <c:ptCount val="8"/>
                <c:pt idx="0">
                  <c:v>6163.69</c:v>
                </c:pt>
                <c:pt idx="1">
                  <c:v>1467893.69</c:v>
                </c:pt>
                <c:pt idx="2">
                  <c:v>2966624.19</c:v>
                </c:pt>
                <c:pt idx="3">
                  <c:v>13318314.470000001</c:v>
                </c:pt>
                <c:pt idx="4">
                  <c:v>26178508.399999999</c:v>
                </c:pt>
                <c:pt idx="5">
                  <c:v>65948252.93</c:v>
                </c:pt>
                <c:pt idx="6">
                  <c:v>137114372.33000001</c:v>
                </c:pt>
                <c:pt idx="7">
                  <c:v>277609375.63999999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46C-A54D-AA59-26B310AB1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92683727"/>
        <c:axId val="1992747999"/>
      </c:scatterChart>
      <c:valAx>
        <c:axId val="199268372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 </a:t>
                </a:r>
                <a:r>
                  <a:rPr lang="en-US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Concentration of 144 Nd [No gas] ppb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2747999"/>
        <c:crosses val="autoZero"/>
        <c:crossBetween val="midCat"/>
      </c:valAx>
      <c:valAx>
        <c:axId val="1992747999"/>
        <c:scaling>
          <c:orientation val="minMax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144 Nd [No gas] Signal Intensity (CPS)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2683727"/>
        <c:crosses val="autoZero"/>
        <c:crossBetween val="midCat"/>
      </c:valAx>
      <c:spPr>
        <a:noFill/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29632</xdr:colOff>
      <xdr:row>40</xdr:row>
      <xdr:rowOff>183091</xdr:rowOff>
    </xdr:from>
    <xdr:to>
      <xdr:col>10</xdr:col>
      <xdr:colOff>810684</xdr:colOff>
      <xdr:row>58</xdr:row>
      <xdr:rowOff>149225</xdr:rowOff>
    </xdr:to>
    <xdr:graphicFrame macro="">
      <xdr:nvGraphicFramePr>
        <xdr:cNvPr id="40" name="Chart 5">
          <a:extLst>
            <a:ext uri="{FF2B5EF4-FFF2-40B4-BE49-F238E27FC236}">
              <a16:creationId xmlns:a16="http://schemas.microsoft.com/office/drawing/2014/main" id="{D4F1DF6D-BA7B-72DC-DC86-5E3128B7A8E3}"/>
            </a:ext>
            <a:ext uri="{147F2762-F138-4A5C-976F-8EAC2B608ADB}">
              <a16:predDERef xmlns:a16="http://schemas.microsoft.com/office/drawing/2014/main" pred="{4F6914D9-F31A-F0FA-0333-DA7CDFF3AB6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625522</xdr:colOff>
      <xdr:row>40</xdr:row>
      <xdr:rowOff>94775</xdr:rowOff>
    </xdr:from>
    <xdr:to>
      <xdr:col>3</xdr:col>
      <xdr:colOff>558136</xdr:colOff>
      <xdr:row>58</xdr:row>
      <xdr:rowOff>195333</xdr:rowOff>
    </xdr:to>
    <xdr:graphicFrame macro="">
      <xdr:nvGraphicFramePr>
        <xdr:cNvPr id="13" name="Chart 4">
          <a:extLst>
            <a:ext uri="{FF2B5EF4-FFF2-40B4-BE49-F238E27FC236}">
              <a16:creationId xmlns:a16="http://schemas.microsoft.com/office/drawing/2014/main" id="{00436037-95AE-2249-B06B-254FD69B021F}"/>
            </a:ext>
            <a:ext uri="{147F2762-F138-4A5C-976F-8EAC2B608ADB}">
              <a16:predDERef xmlns:a16="http://schemas.microsoft.com/office/drawing/2014/main" pred="{D4F1DF6D-BA7B-72DC-DC86-5E3128B7A8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livewarwickac-my.sharepoint.com/personal/u5501704_live_warwick_ac_uk/Documents/Attachments/iGEM_260924_BATCH%20TABLE_with%20cps%20and%20ppm%20values.xlsx" TargetMode="External"/><Relationship Id="rId1" Type="http://schemas.openxmlformats.org/officeDocument/2006/relationships/externalLinkPath" Target="Attachments/iGEM_260924_BATCH%20TABLE_with%20cps%20and%20ppm%20valu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GEM_260924_BATCH with ppb"/>
      <sheetName val="iGEM_260924_BATCH with CPS"/>
      <sheetName val="weights &amp; ppb values from instr"/>
    </sheetNames>
    <sheetDataSet>
      <sheetData sheetId="0" refreshError="1"/>
      <sheetData sheetId="1">
        <row r="3">
          <cell r="P3">
            <v>6163.69</v>
          </cell>
        </row>
        <row r="4">
          <cell r="P4">
            <v>1467893.69</v>
          </cell>
        </row>
        <row r="5">
          <cell r="P5">
            <v>2966624.19</v>
          </cell>
        </row>
        <row r="6">
          <cell r="P6">
            <v>13318314.470000001</v>
          </cell>
        </row>
        <row r="7">
          <cell r="P7">
            <v>26178508.399999999</v>
          </cell>
        </row>
        <row r="8">
          <cell r="P8">
            <v>65948252.93</v>
          </cell>
        </row>
        <row r="9">
          <cell r="P9">
            <v>137114372.33000001</v>
          </cell>
        </row>
        <row r="10">
          <cell r="P10">
            <v>277609375.63999999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1164A5-4F95-7B41-A29E-B5F2340E8361}">
  <dimension ref="A1:L55"/>
  <sheetViews>
    <sheetView zoomScale="89" workbookViewId="0">
      <selection activeCell="D60" sqref="D60"/>
    </sheetView>
  </sheetViews>
  <sheetFormatPr defaultColWidth="11" defaultRowHeight="15.95"/>
  <cols>
    <col min="1" max="1" width="25.5" customWidth="1"/>
    <col min="2" max="2" width="30.375" customWidth="1"/>
    <col min="3" max="3" width="28.375" customWidth="1"/>
    <col min="4" max="4" width="27.5" customWidth="1"/>
    <col min="5" max="5" width="35" customWidth="1"/>
    <col min="6" max="6" width="31.625" customWidth="1"/>
    <col min="7" max="7" width="18.625" customWidth="1"/>
    <col min="8" max="8" width="32.875" customWidth="1"/>
    <col min="9" max="9" width="19.5" customWidth="1"/>
    <col min="10" max="10" width="33.875" customWidth="1"/>
    <col min="11" max="11" width="23.5" customWidth="1"/>
    <col min="12" max="12" width="17.375" customWidth="1"/>
    <col min="13" max="13" width="11" bestFit="1" customWidth="1"/>
    <col min="14" max="14" width="12.125" bestFit="1" customWidth="1"/>
  </cols>
  <sheetData>
    <row r="1" spans="1:1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/>
      <c r="L1" s="1"/>
    </row>
    <row r="2" spans="1:12">
      <c r="A2">
        <v>0</v>
      </c>
      <c r="B2">
        <v>0</v>
      </c>
      <c r="C2">
        <v>5.0015999999999998</v>
      </c>
      <c r="D2">
        <f>B2+C2</f>
        <v>5.0015999999999998</v>
      </c>
      <c r="E2" s="7">
        <v>0</v>
      </c>
      <c r="F2" s="7">
        <v>0</v>
      </c>
      <c r="G2">
        <f>H2*5000</f>
        <v>0</v>
      </c>
      <c r="H2">
        <f t="shared" ref="H2:H9" si="0">B2/D2</f>
        <v>0</v>
      </c>
      <c r="I2" s="2">
        <v>6163.69</v>
      </c>
      <c r="J2" s="2">
        <v>4508.57</v>
      </c>
    </row>
    <row r="3" spans="1:12">
      <c r="A3">
        <v>5</v>
      </c>
      <c r="B3">
        <v>5.4000000000000003E-3</v>
      </c>
      <c r="C3">
        <v>4.9976000000000003</v>
      </c>
      <c r="D3">
        <f>B3+C3</f>
        <v>5.0030000000000001</v>
      </c>
      <c r="E3" s="7">
        <v>5.7279999999999998</v>
      </c>
      <c r="F3" s="7">
        <v>5.6879999999999997</v>
      </c>
      <c r="G3">
        <f t="shared" ref="G3:G9" si="1">H3*5000</f>
        <v>5.3967619428342992</v>
      </c>
      <c r="H3">
        <f t="shared" si="0"/>
        <v>1.0793523885668599E-3</v>
      </c>
      <c r="I3" s="2">
        <v>1467893.69</v>
      </c>
      <c r="J3" s="2">
        <v>1068902.49</v>
      </c>
    </row>
    <row r="4" spans="1:12">
      <c r="A4">
        <v>10</v>
      </c>
      <c r="B4">
        <v>1.0500000000000001E-2</v>
      </c>
      <c r="C4">
        <v>4.9908999999999999</v>
      </c>
      <c r="D4">
        <f t="shared" ref="D4:D9" si="2">B4+C4</f>
        <v>5.0014000000000003</v>
      </c>
      <c r="E4" s="7">
        <v>11.673999999999999</v>
      </c>
      <c r="F4" s="7">
        <v>11.706</v>
      </c>
      <c r="G4">
        <f t="shared" si="1"/>
        <v>10.497060822969569</v>
      </c>
      <c r="H4">
        <f t="shared" si="0"/>
        <v>2.0994121645939137E-3</v>
      </c>
      <c r="I4" s="2">
        <v>2966624.19</v>
      </c>
      <c r="J4" s="2">
        <v>2181686.37</v>
      </c>
    </row>
    <row r="5" spans="1:12">
      <c r="A5">
        <v>50</v>
      </c>
      <c r="B5">
        <v>5.0900000000000001E-2</v>
      </c>
      <c r="C5">
        <v>4.9505999999999997</v>
      </c>
      <c r="D5">
        <f t="shared" si="2"/>
        <v>5.0015000000000001</v>
      </c>
      <c r="E5" s="7">
        <v>52.588999999999999</v>
      </c>
      <c r="F5" s="7">
        <v>52.57</v>
      </c>
      <c r="G5">
        <f t="shared" si="1"/>
        <v>50.884734579626112</v>
      </c>
      <c r="H5">
        <f t="shared" si="0"/>
        <v>1.0176946915925222E-2</v>
      </c>
      <c r="I5" s="2">
        <v>13318314.470000001</v>
      </c>
      <c r="J5" s="2">
        <v>9762517.9399999995</v>
      </c>
    </row>
    <row r="6" spans="1:12">
      <c r="A6">
        <v>100</v>
      </c>
      <c r="B6">
        <v>0.1014</v>
      </c>
      <c r="C6">
        <v>4.9036</v>
      </c>
      <c r="D6">
        <f t="shared" si="2"/>
        <v>5.0049999999999999</v>
      </c>
      <c r="E6" s="7">
        <v>101.13800000000001</v>
      </c>
      <c r="F6" s="7">
        <v>101.812</v>
      </c>
      <c r="G6">
        <f t="shared" si="1"/>
        <v>101.29870129870132</v>
      </c>
      <c r="H6">
        <f t="shared" si="0"/>
        <v>2.0259740259740262E-2</v>
      </c>
      <c r="I6" s="2">
        <v>26178508.399999999</v>
      </c>
      <c r="J6" s="2">
        <v>19324339.789999999</v>
      </c>
    </row>
    <row r="7" spans="1:12">
      <c r="A7">
        <v>250</v>
      </c>
      <c r="B7">
        <v>0.25109999999999999</v>
      </c>
      <c r="C7">
        <v>4.7512999999999996</v>
      </c>
      <c r="D7">
        <f t="shared" si="2"/>
        <v>5.0023999999999997</v>
      </c>
      <c r="E7" s="7">
        <v>253.053</v>
      </c>
      <c r="F7" s="7">
        <v>254.631</v>
      </c>
      <c r="G7">
        <f t="shared" si="1"/>
        <v>250.97952982568367</v>
      </c>
      <c r="H7">
        <f t="shared" si="0"/>
        <v>5.0195905965136733E-2</v>
      </c>
      <c r="I7" s="2">
        <v>65948252.93</v>
      </c>
      <c r="J7" s="2">
        <v>48661901.399999999</v>
      </c>
    </row>
    <row r="8" spans="1:12">
      <c r="A8">
        <v>500</v>
      </c>
      <c r="B8">
        <v>0.50160000000000005</v>
      </c>
      <c r="C8">
        <v>4.5034000000000001</v>
      </c>
      <c r="D8">
        <f t="shared" si="2"/>
        <v>5.0049999999999999</v>
      </c>
      <c r="E8" s="7">
        <v>513.97900000000004</v>
      </c>
      <c r="F8" s="7">
        <v>516.41200000000003</v>
      </c>
      <c r="G8">
        <f t="shared" si="1"/>
        <v>501.09890109890114</v>
      </c>
      <c r="H8">
        <f t="shared" si="0"/>
        <v>0.10021978021978023</v>
      </c>
      <c r="I8" s="2">
        <v>137114372.33000001</v>
      </c>
      <c r="J8" s="2">
        <v>101024291.54000001</v>
      </c>
    </row>
    <row r="9" spans="1:12">
      <c r="A9">
        <v>1000</v>
      </c>
      <c r="B9">
        <v>1.0077</v>
      </c>
      <c r="C9">
        <v>4.0023</v>
      </c>
      <c r="D9">
        <f t="shared" si="2"/>
        <v>5.01</v>
      </c>
      <c r="E9" s="7">
        <v>991.98400000000004</v>
      </c>
      <c r="F9" s="7">
        <v>990.30600000000004</v>
      </c>
      <c r="G9">
        <f t="shared" si="1"/>
        <v>1005.6886227544911</v>
      </c>
      <c r="H9">
        <f t="shared" si="0"/>
        <v>0.20113772455089823</v>
      </c>
      <c r="I9" s="2">
        <v>277609375.63999999</v>
      </c>
      <c r="J9" s="2">
        <v>203201387.47999999</v>
      </c>
    </row>
    <row r="11" spans="1:12">
      <c r="A11" s="1" t="s">
        <v>10</v>
      </c>
      <c r="E11" s="9" t="s">
        <v>4</v>
      </c>
      <c r="F11" s="9" t="s">
        <v>5</v>
      </c>
      <c r="G11" s="1" t="s">
        <v>8</v>
      </c>
      <c r="H11" s="9" t="s">
        <v>11</v>
      </c>
      <c r="I11" s="1" t="s">
        <v>9</v>
      </c>
      <c r="J11" s="9" t="s">
        <v>12</v>
      </c>
    </row>
    <row r="12" spans="1:12">
      <c r="A12" s="6" t="s">
        <v>13</v>
      </c>
      <c r="B12">
        <v>2.4E-2</v>
      </c>
      <c r="C12">
        <f>D12-B12</f>
        <v>5.0254000000000003</v>
      </c>
      <c r="D12">
        <v>5.0494000000000003</v>
      </c>
      <c r="E12" s="13">
        <v>26.02</v>
      </c>
      <c r="F12" s="13">
        <v>25.864000000000001</v>
      </c>
      <c r="G12" s="18">
        <v>6943108.75</v>
      </c>
      <c r="H12" s="10">
        <f t="shared" ref="H12:H17" si="3">(G12+1598145)/278422</f>
        <v>30.677366551493776</v>
      </c>
      <c r="I12" s="18">
        <v>5060898.13</v>
      </c>
      <c r="J12" s="10">
        <f t="shared" ref="J12:J17" si="4">(I12+1170223)/204120</f>
        <v>30.526754507152656</v>
      </c>
    </row>
    <row r="13" spans="1:12">
      <c r="A13" s="6" t="s">
        <v>14</v>
      </c>
      <c r="B13">
        <v>2.4E-2</v>
      </c>
      <c r="C13">
        <f>D13-B13</f>
        <v>5.0190000000000001</v>
      </c>
      <c r="D13">
        <v>5.0430000000000001</v>
      </c>
      <c r="E13" s="13">
        <v>29.675000000000001</v>
      </c>
      <c r="F13" s="13">
        <v>30.135999999999999</v>
      </c>
      <c r="G13" s="18">
        <v>7712127.4699999997</v>
      </c>
      <c r="H13" s="10">
        <f t="shared" si="3"/>
        <v>33.439428170187696</v>
      </c>
      <c r="I13" s="18">
        <v>5743168.3799999999</v>
      </c>
      <c r="J13" s="10">
        <f t="shared" si="4"/>
        <v>33.86925034293553</v>
      </c>
    </row>
    <row r="14" spans="1:12">
      <c r="A14" s="6" t="s">
        <v>15</v>
      </c>
      <c r="B14">
        <v>2.3099999999999999E-2</v>
      </c>
      <c r="C14">
        <f>D14-B14</f>
        <v>5.0198999999999998</v>
      </c>
      <c r="D14">
        <v>5.0430000000000001</v>
      </c>
      <c r="E14" s="13">
        <v>42.081000000000003</v>
      </c>
      <c r="F14" s="13">
        <v>42.073</v>
      </c>
      <c r="G14" s="18">
        <v>11118532.060000001</v>
      </c>
      <c r="H14" s="10">
        <f t="shared" si="3"/>
        <v>45.674110020041525</v>
      </c>
      <c r="I14" s="18">
        <v>8151408.5599999996</v>
      </c>
      <c r="J14" s="10">
        <f t="shared" si="4"/>
        <v>45.667409171075832</v>
      </c>
    </row>
    <row r="15" spans="1:12">
      <c r="A15" s="6" t="s">
        <v>16</v>
      </c>
      <c r="B15">
        <v>2.4500000000000001E-2</v>
      </c>
      <c r="C15">
        <f t="shared" ref="C15:C17" si="5">D15-B15</f>
        <v>5.0289000000000001</v>
      </c>
      <c r="D15">
        <v>5.0533999999999999</v>
      </c>
      <c r="E15" s="13">
        <v>16.466000000000001</v>
      </c>
      <c r="F15" s="13">
        <v>16.681000000000001</v>
      </c>
      <c r="G15" s="18">
        <v>4266920.3899999997</v>
      </c>
      <c r="H15" s="10">
        <f t="shared" si="3"/>
        <v>21.065380573374231</v>
      </c>
      <c r="I15" s="18">
        <v>3169656.12</v>
      </c>
      <c r="J15" s="10">
        <f t="shared" si="4"/>
        <v>21.261410542817952</v>
      </c>
    </row>
    <row r="16" spans="1:12">
      <c r="A16" s="6" t="s">
        <v>17</v>
      </c>
      <c r="B16">
        <v>2.4199999999999999E-2</v>
      </c>
      <c r="C16">
        <f t="shared" si="5"/>
        <v>5.0128000000000004</v>
      </c>
      <c r="D16">
        <v>5.0369999999999999</v>
      </c>
      <c r="E16" s="13">
        <v>34.546999999999997</v>
      </c>
      <c r="F16" s="13">
        <v>35.048999999999999</v>
      </c>
      <c r="G16" s="18">
        <v>8790521.5899999999</v>
      </c>
      <c r="H16" s="10">
        <f t="shared" si="3"/>
        <v>37.312664193203126</v>
      </c>
      <c r="I16" s="18">
        <v>6539939.7400000002</v>
      </c>
      <c r="J16" s="10">
        <f t="shared" si="4"/>
        <v>37.772696159122084</v>
      </c>
    </row>
    <row r="17" spans="1:10">
      <c r="A17" s="6" t="s">
        <v>18</v>
      </c>
      <c r="B17">
        <v>2.5899999999999999E-2</v>
      </c>
      <c r="C17">
        <f t="shared" si="5"/>
        <v>5.0110999999999999</v>
      </c>
      <c r="D17">
        <v>5.0369999999999999</v>
      </c>
      <c r="E17" s="13">
        <v>22.346</v>
      </c>
      <c r="F17" s="13">
        <v>22.446000000000002</v>
      </c>
      <c r="G17" s="18">
        <v>5715732.2699999996</v>
      </c>
      <c r="H17" s="10">
        <f t="shared" si="3"/>
        <v>26.269035025967774</v>
      </c>
      <c r="I17" s="18">
        <v>4210131.6399999997</v>
      </c>
      <c r="J17" s="10">
        <f t="shared" si="4"/>
        <v>26.358782284930431</v>
      </c>
    </row>
    <row r="18" spans="1:10">
      <c r="E18" s="14"/>
      <c r="F18" s="14"/>
      <c r="G18" s="12"/>
      <c r="H18" s="11"/>
      <c r="I18" s="12"/>
      <c r="J18" s="11"/>
    </row>
    <row r="19" spans="1:10">
      <c r="A19" s="5" t="s">
        <v>19</v>
      </c>
      <c r="B19">
        <v>2.3199999999999998E-2</v>
      </c>
      <c r="C19">
        <f>D19-B19</f>
        <v>5.0262000000000002</v>
      </c>
      <c r="D19">
        <v>5.0494000000000003</v>
      </c>
      <c r="E19" s="15">
        <v>72.159000000000006</v>
      </c>
      <c r="F19" s="15">
        <v>72.445999999999998</v>
      </c>
      <c r="G19" s="19">
        <v>14627178.310000001</v>
      </c>
      <c r="H19" s="10">
        <f t="shared" ref="H19:H24" si="6">(G19+1598145)/278422</f>
        <v>58.276010193160026</v>
      </c>
      <c r="I19" s="19">
        <v>10769360.960000001</v>
      </c>
      <c r="J19" s="10">
        <f t="shared" ref="J19:J24" si="7">(I19+1170223)/204120</f>
        <v>58.492964726631399</v>
      </c>
    </row>
    <row r="20" spans="1:10">
      <c r="A20" s="5" t="s">
        <v>20</v>
      </c>
      <c r="B20">
        <v>2.3099999999999999E-2</v>
      </c>
      <c r="C20">
        <f t="shared" ref="C20:C24" si="8">D20-B20</f>
        <v>5.0198999999999998</v>
      </c>
      <c r="D20">
        <v>5.0430000000000001</v>
      </c>
      <c r="E20" s="15">
        <v>26.213000000000001</v>
      </c>
      <c r="F20" s="15">
        <v>26.478000000000002</v>
      </c>
      <c r="G20" s="19">
        <v>5346421.7300000004</v>
      </c>
      <c r="H20" s="10">
        <f t="shared" si="6"/>
        <v>24.942593365466809</v>
      </c>
      <c r="I20" s="19">
        <v>3960159.98</v>
      </c>
      <c r="J20" s="10">
        <f t="shared" si="7"/>
        <v>25.134151381540274</v>
      </c>
    </row>
    <row r="21" spans="1:10">
      <c r="A21" s="5" t="s">
        <v>21</v>
      </c>
      <c r="B21">
        <v>2.6499999999999999E-2</v>
      </c>
      <c r="C21">
        <f t="shared" si="8"/>
        <v>5.0104999999999995</v>
      </c>
      <c r="D21">
        <v>5.0369999999999999</v>
      </c>
      <c r="E21" s="15">
        <v>37.898000000000003</v>
      </c>
      <c r="F21" s="15">
        <v>38.145000000000003</v>
      </c>
      <c r="G21" s="19">
        <v>9039951.5800000001</v>
      </c>
      <c r="H21" s="10">
        <f t="shared" si="6"/>
        <v>38.208534454892217</v>
      </c>
      <c r="I21" s="19">
        <v>6672419.7300000004</v>
      </c>
      <c r="J21" s="10">
        <f t="shared" si="7"/>
        <v>38.421726092494616</v>
      </c>
    </row>
    <row r="22" spans="1:10">
      <c r="A22" s="5" t="s">
        <v>22</v>
      </c>
      <c r="B22">
        <v>2.4E-2</v>
      </c>
      <c r="C22">
        <f t="shared" si="8"/>
        <v>5.0293999999999999</v>
      </c>
      <c r="D22">
        <v>5.0533999999999999</v>
      </c>
      <c r="E22" s="15">
        <v>28.047999999999998</v>
      </c>
      <c r="F22" s="15">
        <v>28.123999999999999</v>
      </c>
      <c r="G22" s="19">
        <v>6854963.7599999998</v>
      </c>
      <c r="H22" s="10">
        <f t="shared" si="6"/>
        <v>30.360778817765837</v>
      </c>
      <c r="I22" s="19">
        <v>5040466.88</v>
      </c>
      <c r="J22" s="10">
        <f t="shared" si="7"/>
        <v>30.42666019988242</v>
      </c>
    </row>
    <row r="23" spans="1:10">
      <c r="A23" s="5" t="s">
        <v>23</v>
      </c>
      <c r="B23">
        <v>2.4199999999999999E-2</v>
      </c>
      <c r="C23">
        <f t="shared" si="8"/>
        <v>5.0159000000000002</v>
      </c>
      <c r="D23">
        <v>5.0400999999999998</v>
      </c>
      <c r="E23" s="15">
        <v>22.873000000000001</v>
      </c>
      <c r="F23" s="15">
        <v>23.149000000000001</v>
      </c>
      <c r="G23" s="19">
        <v>5603747.6900000004</v>
      </c>
      <c r="H23" s="10">
        <f t="shared" si="6"/>
        <v>25.866823347292961</v>
      </c>
      <c r="I23" s="19">
        <v>4158451.36</v>
      </c>
      <c r="J23" s="10">
        <f t="shared" si="7"/>
        <v>26.105596511855769</v>
      </c>
    </row>
    <row r="24" spans="1:10">
      <c r="A24" s="5" t="s">
        <v>24</v>
      </c>
      <c r="B24">
        <v>2.5899999999999999E-2</v>
      </c>
      <c r="C24">
        <f t="shared" si="8"/>
        <v>5.0110999999999999</v>
      </c>
      <c r="D24">
        <v>5.0369999999999999</v>
      </c>
      <c r="E24" s="15">
        <v>14.888999999999999</v>
      </c>
      <c r="F24" s="15">
        <v>15.095000000000001</v>
      </c>
      <c r="G24" s="19">
        <v>3675377.22</v>
      </c>
      <c r="H24" s="10">
        <f t="shared" si="6"/>
        <v>18.94075259857339</v>
      </c>
      <c r="I24" s="19">
        <v>2732220.86</v>
      </c>
      <c r="J24" s="10">
        <f t="shared" si="7"/>
        <v>19.118380658436212</v>
      </c>
    </row>
    <row r="25" spans="1:10">
      <c r="E25" s="14"/>
      <c r="F25" s="14"/>
      <c r="G25" s="12"/>
      <c r="H25" s="11"/>
      <c r="I25" s="12"/>
      <c r="J25" s="11"/>
    </row>
    <row r="26" spans="1:10">
      <c r="A26" s="4" t="s">
        <v>25</v>
      </c>
      <c r="B26">
        <v>2.4799999999999999E-2</v>
      </c>
      <c r="C26">
        <f>D26-B26</f>
        <v>5.0347</v>
      </c>
      <c r="D26">
        <v>5.0594999999999999</v>
      </c>
      <c r="E26" s="16">
        <v>28.558</v>
      </c>
      <c r="F26" s="16">
        <v>28.792999999999999</v>
      </c>
      <c r="G26" s="20">
        <v>6900119.5800000001</v>
      </c>
      <c r="H26" s="10">
        <f t="shared" ref="H26:H31" si="9">(G26+1598145)/278422</f>
        <v>30.522963630747572</v>
      </c>
      <c r="I26" s="22">
        <v>5101432.43</v>
      </c>
      <c r="J26" s="10">
        <f t="shared" ref="J26:J31" si="10">(I26+1170223)/204120</f>
        <v>30.725335243974133</v>
      </c>
    </row>
    <row r="27" spans="1:10">
      <c r="A27" s="4" t="s">
        <v>26</v>
      </c>
      <c r="B27">
        <v>2.4500000000000001E-2</v>
      </c>
      <c r="C27">
        <f t="shared" ref="C27:C31" si="11">D27-B27</f>
        <v>5.0108000000000006</v>
      </c>
      <c r="D27">
        <v>5.0353000000000003</v>
      </c>
      <c r="E27" s="16">
        <v>25.411000000000001</v>
      </c>
      <c r="F27" s="16">
        <v>25.422999999999998</v>
      </c>
      <c r="G27" s="20">
        <v>6220384.3399999999</v>
      </c>
      <c r="H27" s="10">
        <f t="shared" si="9"/>
        <v>28.081578826385844</v>
      </c>
      <c r="I27" s="22">
        <v>4564029.82</v>
      </c>
      <c r="J27" s="10">
        <f t="shared" si="10"/>
        <v>28.092557417205565</v>
      </c>
    </row>
    <row r="28" spans="1:10">
      <c r="A28" s="4" t="s">
        <v>27</v>
      </c>
      <c r="B28">
        <v>2.46E-2</v>
      </c>
      <c r="C28">
        <f t="shared" si="11"/>
        <v>5.0217999999999998</v>
      </c>
      <c r="D28">
        <v>5.0464000000000002</v>
      </c>
      <c r="E28" s="16">
        <v>26.686</v>
      </c>
      <c r="F28" s="16">
        <v>26.895</v>
      </c>
      <c r="G28" s="20">
        <v>6512640.8499999996</v>
      </c>
      <c r="H28" s="10">
        <f t="shared" si="9"/>
        <v>29.131267823663357</v>
      </c>
      <c r="I28" s="22">
        <v>4813214.3899999997</v>
      </c>
      <c r="J28" s="10">
        <f t="shared" si="10"/>
        <v>29.313332304526746</v>
      </c>
    </row>
    <row r="29" spans="1:10">
      <c r="A29" s="4" t="s">
        <v>28</v>
      </c>
      <c r="B29">
        <v>2.7900000000000001E-2</v>
      </c>
      <c r="C29">
        <f t="shared" si="11"/>
        <v>5.0209999999999999</v>
      </c>
      <c r="D29">
        <v>5.0488999999999997</v>
      </c>
      <c r="E29" s="16">
        <v>30.716000000000001</v>
      </c>
      <c r="F29" s="16">
        <v>31.117000000000001</v>
      </c>
      <c r="G29" s="20">
        <v>7370523.3200000003</v>
      </c>
      <c r="H29" s="10">
        <f t="shared" si="9"/>
        <v>32.212498724957079</v>
      </c>
      <c r="I29" s="22">
        <v>5475233.2599999998</v>
      </c>
      <c r="J29" s="10">
        <f t="shared" si="10"/>
        <v>32.556615030374289</v>
      </c>
    </row>
    <row r="30" spans="1:10">
      <c r="A30" s="4" t="s">
        <v>29</v>
      </c>
      <c r="B30">
        <v>2.4400000000000002E-2</v>
      </c>
      <c r="C30">
        <f t="shared" si="11"/>
        <v>5.0425000000000004</v>
      </c>
      <c r="D30">
        <v>5.0669000000000004</v>
      </c>
      <c r="E30" s="16">
        <v>27.318000000000001</v>
      </c>
      <c r="F30" s="16">
        <v>27.457000000000001</v>
      </c>
      <c r="G30" s="20">
        <v>6705052.9299999997</v>
      </c>
      <c r="H30" s="10">
        <f t="shared" si="9"/>
        <v>29.822348557226078</v>
      </c>
      <c r="I30" s="22">
        <v>4941926.1900000004</v>
      </c>
      <c r="J30" s="10">
        <f t="shared" si="10"/>
        <v>29.943901577503432</v>
      </c>
    </row>
    <row r="31" spans="1:10">
      <c r="A31" s="4" t="s">
        <v>30</v>
      </c>
      <c r="B31">
        <v>2.52E-2</v>
      </c>
      <c r="C31">
        <f t="shared" si="11"/>
        <v>5.0192000000000005</v>
      </c>
      <c r="D31">
        <v>5.0444000000000004</v>
      </c>
      <c r="E31" s="16">
        <v>25.827999999999999</v>
      </c>
      <c r="F31" s="16">
        <v>26.021000000000001</v>
      </c>
      <c r="G31" s="20">
        <v>6309410.7199999997</v>
      </c>
      <c r="H31" s="10">
        <f t="shared" si="9"/>
        <v>28.401332222310018</v>
      </c>
      <c r="I31" s="22">
        <v>4661048.43</v>
      </c>
      <c r="J31" s="10">
        <f t="shared" si="10"/>
        <v>28.567859249461101</v>
      </c>
    </row>
    <row r="32" spans="1:10">
      <c r="E32" s="14"/>
      <c r="F32" s="14"/>
      <c r="G32" s="12"/>
      <c r="H32" s="11"/>
      <c r="I32" s="12"/>
      <c r="J32" s="11"/>
    </row>
    <row r="33" spans="1:10">
      <c r="A33" s="3" t="s">
        <v>31</v>
      </c>
      <c r="B33">
        <v>2.4400000000000002E-2</v>
      </c>
      <c r="C33">
        <f>D33-B33</f>
        <v>5.0667</v>
      </c>
      <c r="D33">
        <v>5.0911</v>
      </c>
      <c r="E33" s="17">
        <v>30.617000000000001</v>
      </c>
      <c r="F33" s="17">
        <v>30.937000000000001</v>
      </c>
      <c r="G33" s="21">
        <v>7514500.5300000003</v>
      </c>
      <c r="H33" s="10">
        <f t="shared" ref="H33:H38" si="12">(G33+1598145)/278422</f>
        <v>32.729617379373764</v>
      </c>
      <c r="I33" s="21">
        <v>5567648.9500000002</v>
      </c>
      <c r="J33" s="10">
        <f t="shared" ref="J33:J38" si="13">(I33+1170223)/204120</f>
        <v>33.00936679404272</v>
      </c>
    </row>
    <row r="34" spans="1:10">
      <c r="A34" s="3" t="s">
        <v>32</v>
      </c>
      <c r="B34">
        <v>2.5000000000000001E-2</v>
      </c>
      <c r="C34">
        <f t="shared" ref="C34:C38" si="14">D34-B34</f>
        <v>5.0199999999999996</v>
      </c>
      <c r="D34">
        <v>5.0449999999999999</v>
      </c>
      <c r="E34" s="17">
        <v>26.428999999999998</v>
      </c>
      <c r="F34" s="17">
        <v>26.8</v>
      </c>
      <c r="G34" s="21">
        <v>6440974.8799999999</v>
      </c>
      <c r="H34" s="10">
        <f t="shared" si="12"/>
        <v>28.873867294969507</v>
      </c>
      <c r="I34" s="21">
        <v>4790051.0599999996</v>
      </c>
      <c r="J34" s="10">
        <f t="shared" si="13"/>
        <v>29.199853321575542</v>
      </c>
    </row>
    <row r="35" spans="1:10">
      <c r="A35" s="3" t="s">
        <v>33</v>
      </c>
      <c r="B35">
        <v>2.4899999999999999E-2</v>
      </c>
      <c r="C35">
        <f t="shared" si="14"/>
        <v>5.0235000000000003</v>
      </c>
      <c r="D35">
        <v>5.0484</v>
      </c>
      <c r="E35" s="17">
        <v>27.721</v>
      </c>
      <c r="F35" s="17">
        <v>28.21</v>
      </c>
      <c r="G35" s="21">
        <v>6958858.4699999997</v>
      </c>
      <c r="H35" s="10">
        <f t="shared" si="12"/>
        <v>30.73393435145211</v>
      </c>
      <c r="I35" s="21">
        <v>5193013.26</v>
      </c>
      <c r="J35" s="10">
        <f t="shared" si="13"/>
        <v>31.173996962571035</v>
      </c>
    </row>
    <row r="36" spans="1:10">
      <c r="A36" s="3" t="s">
        <v>34</v>
      </c>
      <c r="B36">
        <v>2.46E-2</v>
      </c>
      <c r="C36">
        <f t="shared" si="14"/>
        <v>5.0227999999999993</v>
      </c>
      <c r="D36">
        <v>5.0473999999999997</v>
      </c>
      <c r="E36" s="17">
        <v>22.222000000000001</v>
      </c>
      <c r="F36" s="17">
        <v>22.765999999999998</v>
      </c>
      <c r="G36" s="21">
        <v>5385428.9500000002</v>
      </c>
      <c r="H36" s="10">
        <f t="shared" si="12"/>
        <v>25.082694435066195</v>
      </c>
      <c r="I36" s="21">
        <v>4045604.56</v>
      </c>
      <c r="J36" s="10">
        <f t="shared" si="13"/>
        <v>25.552751126788166</v>
      </c>
    </row>
    <row r="37" spans="1:10">
      <c r="A37" s="3" t="s">
        <v>35</v>
      </c>
      <c r="B37">
        <v>2.46E-2</v>
      </c>
      <c r="C37">
        <f t="shared" si="14"/>
        <v>5.0091999999999999</v>
      </c>
      <c r="D37">
        <v>5.0338000000000003</v>
      </c>
      <c r="E37" s="17">
        <v>18.548999999999999</v>
      </c>
      <c r="F37" s="17">
        <v>18.667999999999999</v>
      </c>
      <c r="G37" s="21">
        <v>4525017.5999999996</v>
      </c>
      <c r="H37" s="10">
        <f t="shared" si="12"/>
        <v>21.992380630840952</v>
      </c>
      <c r="I37" s="21">
        <v>3339504.94</v>
      </c>
      <c r="J37" s="10">
        <f t="shared" si="13"/>
        <v>22.093513325494804</v>
      </c>
    </row>
    <row r="38" spans="1:10">
      <c r="A38" s="3" t="s">
        <v>36</v>
      </c>
      <c r="B38">
        <v>2.5600000000000001E-2</v>
      </c>
      <c r="C38">
        <f t="shared" si="14"/>
        <v>5.0312999999999999</v>
      </c>
      <c r="D38">
        <v>5.0568999999999997</v>
      </c>
      <c r="E38" s="17">
        <v>14.711</v>
      </c>
      <c r="F38" s="17">
        <v>14.574</v>
      </c>
      <c r="G38" s="21">
        <v>3511778.61</v>
      </c>
      <c r="H38" s="10">
        <f t="shared" si="12"/>
        <v>18.353160346524337</v>
      </c>
      <c r="I38" s="21">
        <v>2550696.91</v>
      </c>
      <c r="J38" s="10">
        <f t="shared" si="13"/>
        <v>18.229080491867531</v>
      </c>
    </row>
    <row r="48" spans="1:10">
      <c r="E48" s="8" t="s">
        <v>37</v>
      </c>
      <c r="F48" s="8"/>
    </row>
    <row r="49" spans="5:6">
      <c r="E49" s="8" t="s">
        <v>38</v>
      </c>
      <c r="F49" s="8" t="s">
        <v>39</v>
      </c>
    </row>
    <row r="50" spans="5:6">
      <c r="E50" cm="1">
        <f t="array" ref="E50:F50">LINEST(I2:I9, E2:E9)</f>
        <v>278421.9179526057</v>
      </c>
      <c r="F50">
        <v>-1598145.9358290136</v>
      </c>
    </row>
    <row r="53" spans="5:6">
      <c r="E53" s="8" t="s">
        <v>40</v>
      </c>
      <c r="F53" s="8"/>
    </row>
    <row r="54" spans="5:6">
      <c r="E54" s="8" t="s">
        <v>38</v>
      </c>
      <c r="F54" s="8" t="s">
        <v>39</v>
      </c>
    </row>
    <row r="55" spans="5:6">
      <c r="E55" cm="1">
        <f t="array" ref="E55:F55">LINEST(J2:J9, F2:F9)</f>
        <v>204120.95554293561</v>
      </c>
      <c r="F55">
        <v>-1170223.3254921734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07E659-0FD4-4E9B-8747-D5940A9D861E}">
  <dimension ref="A1:W55"/>
  <sheetViews>
    <sheetView tabSelected="1" topLeftCell="A7" zoomScale="70" zoomScaleNormal="70" workbookViewId="0">
      <selection activeCell="B27" sqref="B27"/>
    </sheetView>
  </sheetViews>
  <sheetFormatPr defaultColWidth="8.875" defaultRowHeight="15.95"/>
  <cols>
    <col min="1" max="1" width="27.875" customWidth="1"/>
    <col min="2" max="2" width="26.375" customWidth="1"/>
    <col min="3" max="3" width="31.375" customWidth="1"/>
    <col min="4" max="4" width="22.875" customWidth="1"/>
    <col min="5" max="5" width="17.125" customWidth="1"/>
    <col min="7" max="7" width="32.375" customWidth="1"/>
    <col min="8" max="8" width="30.625" customWidth="1"/>
    <col min="9" max="9" width="33.625" customWidth="1"/>
    <col min="10" max="10" width="35.375" customWidth="1"/>
    <col min="11" max="11" width="22.5" customWidth="1"/>
    <col min="12" max="12" width="30.125" customWidth="1"/>
    <col min="13" max="13" width="30.375" customWidth="1"/>
    <col min="14" max="14" width="34.125" customWidth="1"/>
    <col min="15" max="15" width="35" customWidth="1"/>
    <col min="18" max="18" width="45" customWidth="1"/>
    <col min="19" max="19" width="47.625" customWidth="1"/>
    <col min="20" max="20" width="38" customWidth="1"/>
    <col min="21" max="21" width="39" customWidth="1"/>
    <col min="22" max="22" width="45.625" customWidth="1"/>
    <col min="23" max="23" width="42.875" customWidth="1"/>
  </cols>
  <sheetData>
    <row r="1" spans="1:23">
      <c r="G1" t="s">
        <v>41</v>
      </c>
      <c r="I1" t="s">
        <v>42</v>
      </c>
      <c r="L1" t="s">
        <v>43</v>
      </c>
      <c r="N1" t="s">
        <v>42</v>
      </c>
      <c r="T1" t="s">
        <v>44</v>
      </c>
      <c r="V1" t="s">
        <v>42</v>
      </c>
    </row>
    <row r="2" spans="1:23">
      <c r="A2" s="1" t="s">
        <v>10</v>
      </c>
      <c r="B2" s="1" t="s">
        <v>1</v>
      </c>
      <c r="C2" s="1" t="s">
        <v>45</v>
      </c>
      <c r="E2" t="s">
        <v>46</v>
      </c>
      <c r="G2" s="9" t="s">
        <v>4</v>
      </c>
      <c r="H2" s="9" t="s">
        <v>5</v>
      </c>
      <c r="I2" s="9" t="s">
        <v>11</v>
      </c>
      <c r="J2" s="9" t="s">
        <v>12</v>
      </c>
      <c r="L2" s="9" t="s">
        <v>47</v>
      </c>
      <c r="M2" s="9" t="s">
        <v>48</v>
      </c>
      <c r="N2" s="9" t="s">
        <v>49</v>
      </c>
      <c r="O2" s="9" t="s">
        <v>50</v>
      </c>
      <c r="T2" s="9" t="s">
        <v>47</v>
      </c>
      <c r="U2" s="9" t="s">
        <v>48</v>
      </c>
      <c r="V2" s="9" t="s">
        <v>49</v>
      </c>
      <c r="W2" s="9" t="s">
        <v>50</v>
      </c>
    </row>
    <row r="3" spans="1:23">
      <c r="A3" s="6" t="s">
        <v>13</v>
      </c>
      <c r="B3">
        <v>2.4E-2</v>
      </c>
      <c r="C3">
        <v>5.0494000000000003</v>
      </c>
      <c r="E3">
        <f>C3/B3</f>
        <v>210.39166666666668</v>
      </c>
      <c r="G3" s="6">
        <v>26.02</v>
      </c>
      <c r="H3" s="6">
        <v>25.864000000000001</v>
      </c>
      <c r="I3" s="23">
        <v>30.677366551493776</v>
      </c>
      <c r="J3" s="24">
        <v>30.526754507152656</v>
      </c>
      <c r="L3" s="14">
        <f>G3*($E3/1000)</f>
        <v>5.4743911666666669</v>
      </c>
      <c r="M3" s="14">
        <f t="shared" ref="M3:O3" si="0">H3*($E3/1000)</f>
        <v>5.4415700666666673</v>
      </c>
      <c r="N3" s="14">
        <f t="shared" si="0"/>
        <v>6.4542622777130285</v>
      </c>
      <c r="O3" s="14">
        <f t="shared" si="0"/>
        <v>6.4225747586840258</v>
      </c>
      <c r="S3" t="s">
        <v>51</v>
      </c>
      <c r="T3" s="14">
        <f>AVERAGE(L3:L4)</f>
        <v>5.8549252708333341</v>
      </c>
      <c r="U3" s="14">
        <f>AVERAGE(M3:M4)</f>
        <v>5.8869485333333333</v>
      </c>
      <c r="V3" s="14">
        <f>AVERAGE(N3:N4)</f>
        <v>6.7403610609868592</v>
      </c>
      <c r="W3" s="14">
        <f>AVERAGE(O3:O4)</f>
        <v>6.7696754934966776</v>
      </c>
    </row>
    <row r="4" spans="1:23">
      <c r="A4" s="6" t="s">
        <v>14</v>
      </c>
      <c r="B4">
        <v>2.4E-2</v>
      </c>
      <c r="C4">
        <v>5.0430000000000001</v>
      </c>
      <c r="E4">
        <f t="shared" ref="E4:E29" si="1">C4/B4</f>
        <v>210.125</v>
      </c>
      <c r="G4" s="6">
        <v>29.675000000000001</v>
      </c>
      <c r="H4" s="6">
        <v>30.135999999999999</v>
      </c>
      <c r="I4" s="23">
        <v>33.439428170187696</v>
      </c>
      <c r="J4" s="24">
        <v>33.86925034293553</v>
      </c>
      <c r="L4" s="14">
        <f t="shared" ref="L4:L29" si="2">G4*($E4/1000)</f>
        <v>6.2354593750000005</v>
      </c>
      <c r="M4" s="14">
        <f t="shared" ref="M4:M29" si="3">H4*($E4/1000)</f>
        <v>6.3323270000000003</v>
      </c>
      <c r="N4" s="14">
        <f t="shared" ref="N4:N29" si="4">I4*($E4/1000)</f>
        <v>7.0264598442606898</v>
      </c>
      <c r="O4" s="14">
        <f t="shared" ref="O4:O29" si="5">J4*($E4/1000)</f>
        <v>7.1167762283093285</v>
      </c>
      <c r="S4" t="s">
        <v>52</v>
      </c>
      <c r="T4" s="14">
        <f>AVERAGE(L5:L6)</f>
        <v>6.2915357391465676</v>
      </c>
      <c r="U4" s="14">
        <f>AVERAGE(M5:M6)</f>
        <v>6.3128355740259732</v>
      </c>
      <c r="V4" s="14">
        <f>AVERAGE(N5:N6)</f>
        <v>7.1580816310083968</v>
      </c>
      <c r="W4" s="14">
        <f>AVERAGE(O5:O6)</f>
        <v>7.1775668849500658</v>
      </c>
    </row>
    <row r="5" spans="1:23">
      <c r="A5" s="6" t="s">
        <v>15</v>
      </c>
      <c r="B5">
        <v>2.3099999999999999E-2</v>
      </c>
      <c r="C5">
        <v>5.0430000000000001</v>
      </c>
      <c r="E5">
        <f t="shared" si="1"/>
        <v>218.31168831168833</v>
      </c>
      <c r="G5" s="6">
        <v>42.081000000000003</v>
      </c>
      <c r="H5" s="6">
        <v>42.073</v>
      </c>
      <c r="I5" s="23">
        <v>45.674110020041525</v>
      </c>
      <c r="J5" s="24">
        <v>45.667409171075832</v>
      </c>
      <c r="L5" s="14">
        <f t="shared" si="2"/>
        <v>9.1867741558441569</v>
      </c>
      <c r="M5" s="14">
        <f t="shared" si="3"/>
        <v>9.1850276623376619</v>
      </c>
      <c r="N5" s="14">
        <f t="shared" si="4"/>
        <v>9.9711920706090655</v>
      </c>
      <c r="O5" s="14">
        <f t="shared" si="5"/>
        <v>9.9697291969582444</v>
      </c>
      <c r="S5" t="s">
        <v>53</v>
      </c>
      <c r="T5" s="14">
        <f>AVERAGE(L7:L8)</f>
        <v>5.7682260908931369</v>
      </c>
      <c r="U5" s="14">
        <f>AVERAGE(M7:M8)</f>
        <v>5.8301932935798852</v>
      </c>
      <c r="V5" s="14">
        <f>AVERAGE(N7:N8)</f>
        <v>6.4375229516102177</v>
      </c>
      <c r="W5" s="14">
        <f>AVERAGE(O7:O8)</f>
        <v>6.4941255603801222</v>
      </c>
    </row>
    <row r="6" spans="1:23">
      <c r="A6" s="6" t="s">
        <v>16</v>
      </c>
      <c r="B6">
        <v>2.4500000000000001E-2</v>
      </c>
      <c r="C6">
        <v>5.0533999999999999</v>
      </c>
      <c r="E6">
        <f t="shared" si="1"/>
        <v>206.26122448979589</v>
      </c>
      <c r="G6" s="6">
        <v>16.466000000000001</v>
      </c>
      <c r="H6" s="6">
        <v>16.681000000000001</v>
      </c>
      <c r="I6" s="23">
        <v>21.065380573374231</v>
      </c>
      <c r="J6" s="24">
        <v>21.261410542817952</v>
      </c>
      <c r="L6" s="14">
        <f t="shared" si="2"/>
        <v>3.3962973224489792</v>
      </c>
      <c r="M6" s="14">
        <f t="shared" si="3"/>
        <v>3.4406434857142854</v>
      </c>
      <c r="N6" s="14">
        <f t="shared" si="4"/>
        <v>4.3449711914077271</v>
      </c>
      <c r="O6" s="14">
        <f t="shared" si="5"/>
        <v>4.3854045729418871</v>
      </c>
    </row>
    <row r="7" spans="1:23">
      <c r="A7" s="6" t="s">
        <v>17</v>
      </c>
      <c r="B7">
        <v>2.4199999999999999E-2</v>
      </c>
      <c r="C7">
        <v>5.0369999999999999</v>
      </c>
      <c r="E7">
        <f t="shared" si="1"/>
        <v>208.14049586776861</v>
      </c>
      <c r="G7" s="6">
        <v>34.546999999999997</v>
      </c>
      <c r="H7" s="6">
        <v>35.048999999999999</v>
      </c>
      <c r="I7" s="23">
        <v>37.312664193203126</v>
      </c>
      <c r="J7" s="24">
        <v>37.772696159122084</v>
      </c>
      <c r="L7" s="14">
        <f t="shared" si="2"/>
        <v>7.190629710743802</v>
      </c>
      <c r="M7" s="14">
        <f t="shared" si="3"/>
        <v>7.2951162396694222</v>
      </c>
      <c r="N7" s="14">
        <f t="shared" si="4"/>
        <v>7.7662764273208333</v>
      </c>
      <c r="O7" s="14">
        <f t="shared" si="5"/>
        <v>7.8620277088222297</v>
      </c>
      <c r="S7" t="s">
        <v>54</v>
      </c>
      <c r="T7" s="14">
        <f>AVERAGE(L10:L11)</f>
        <v>10.71388090578818</v>
      </c>
      <c r="U7" s="14">
        <f>AVERAGE(M10:M11)</f>
        <v>10.774039484661891</v>
      </c>
      <c r="V7" s="14">
        <f>AVERAGE(N10:N11)</f>
        <v>9.0644161676344854</v>
      </c>
      <c r="W7" s="14">
        <f>AVERAGE(O10:O11)</f>
        <v>9.1089355476292848</v>
      </c>
    </row>
    <row r="8" spans="1:23">
      <c r="A8" s="6" t="s">
        <v>18</v>
      </c>
      <c r="B8">
        <v>2.5899999999999999E-2</v>
      </c>
      <c r="C8">
        <v>5.0369999999999999</v>
      </c>
      <c r="E8">
        <f t="shared" si="1"/>
        <v>194.47876447876448</v>
      </c>
      <c r="G8" s="6">
        <v>22.346</v>
      </c>
      <c r="H8" s="6">
        <v>22.446000000000002</v>
      </c>
      <c r="I8" s="23">
        <v>26.269035025967774</v>
      </c>
      <c r="J8" s="24">
        <v>26.358782284930431</v>
      </c>
      <c r="L8" s="14">
        <f t="shared" si="2"/>
        <v>4.3458224710424709</v>
      </c>
      <c r="M8" s="14">
        <f t="shared" si="3"/>
        <v>4.3652703474903474</v>
      </c>
      <c r="N8" s="14">
        <f t="shared" si="4"/>
        <v>5.1087694758996012</v>
      </c>
      <c r="O8" s="14">
        <f t="shared" si="5"/>
        <v>5.1262234119380148</v>
      </c>
      <c r="S8" t="s">
        <v>55</v>
      </c>
      <c r="T8" s="14">
        <f>AVERAGE(L12:L13)</f>
        <v>6.5546101798742136</v>
      </c>
      <c r="U8" s="14">
        <f>AVERAGE(M12:M13)</f>
        <v>6.5860857172955978</v>
      </c>
      <c r="V8" s="14">
        <f>AVERAGE(N12:N13)</f>
        <v>6.8276100979889973</v>
      </c>
      <c r="W8" s="14">
        <f>AVERAGE(O12:O13)</f>
        <v>6.8548072855367641</v>
      </c>
    </row>
    <row r="9" spans="1:23">
      <c r="I9" s="24"/>
      <c r="J9" s="24"/>
      <c r="L9" s="14"/>
      <c r="M9" s="14"/>
      <c r="N9" s="14"/>
      <c r="O9" s="14"/>
      <c r="S9" t="s">
        <v>56</v>
      </c>
      <c r="T9" s="14">
        <f>AVERAGE(L14:L15)</f>
        <v>3.8296609493522444</v>
      </c>
      <c r="U9" s="14">
        <f>AVERAGE(M14:M15)</f>
        <v>3.87843332820926</v>
      </c>
      <c r="V9" s="14">
        <f>AVERAGE(N14:N15)</f>
        <v>4.5354105601956398</v>
      </c>
      <c r="W9" s="14">
        <f>AVERAGE(O14:O15)</f>
        <v>4.5775474787636137</v>
      </c>
    </row>
    <row r="10" spans="1:23">
      <c r="A10" s="5" t="s">
        <v>19</v>
      </c>
      <c r="B10">
        <v>2.3199999999999998E-2</v>
      </c>
      <c r="C10">
        <v>5.0494000000000003</v>
      </c>
      <c r="E10">
        <f t="shared" si="1"/>
        <v>217.64655172413796</v>
      </c>
      <c r="G10" s="5">
        <v>72.159000000000006</v>
      </c>
      <c r="H10" s="5">
        <v>72.445999999999998</v>
      </c>
      <c r="I10" s="23">
        <v>58.276010193160026</v>
      </c>
      <c r="J10" s="24">
        <v>58.492964726631399</v>
      </c>
      <c r="K10">
        <v>15.705</v>
      </c>
      <c r="L10" s="25">
        <f t="shared" si="2"/>
        <v>15.705157525862072</v>
      </c>
      <c r="M10" s="14">
        <f t="shared" si="3"/>
        <v>15.767622086206899</v>
      </c>
      <c r="N10" s="14">
        <f t="shared" si="4"/>
        <v>12.683572666781995</v>
      </c>
      <c r="O10" s="14">
        <f t="shared" si="5"/>
        <v>12.730792072872958</v>
      </c>
    </row>
    <row r="11" spans="1:23">
      <c r="A11" s="5" t="s">
        <v>20</v>
      </c>
      <c r="B11">
        <v>2.3099999999999999E-2</v>
      </c>
      <c r="C11">
        <v>5.0430000000000001</v>
      </c>
      <c r="E11">
        <f t="shared" si="1"/>
        <v>218.31168831168833</v>
      </c>
      <c r="G11" s="5">
        <v>26.213000000000001</v>
      </c>
      <c r="H11" s="5">
        <v>26.478000000000002</v>
      </c>
      <c r="I11" s="23">
        <v>24.942593365466809</v>
      </c>
      <c r="J11" s="24">
        <v>25.134151381540274</v>
      </c>
      <c r="K11">
        <v>7.2030000000000003</v>
      </c>
      <c r="L11" s="14">
        <f t="shared" si="2"/>
        <v>5.7226042857142865</v>
      </c>
      <c r="M11" s="14">
        <f t="shared" si="3"/>
        <v>5.7804568831168837</v>
      </c>
      <c r="N11" s="14">
        <f t="shared" si="4"/>
        <v>5.4452596684869752</v>
      </c>
      <c r="O11" s="14">
        <f t="shared" si="5"/>
        <v>5.4870790223856103</v>
      </c>
      <c r="S11" t="s">
        <v>57</v>
      </c>
      <c r="T11" s="14">
        <f>AVERAGE(L17:L18)</f>
        <v>5.5243542053489136</v>
      </c>
      <c r="U11" s="14">
        <f>AVERAGE(M17:M18)</f>
        <v>5.5495587614137589</v>
      </c>
      <c r="V11" s="14">
        <f>AVERAGE(N17:N18)</f>
        <v>5.9992243308417681</v>
      </c>
      <c r="W11" s="14">
        <f>AVERAGE(O17:O18)</f>
        <v>6.0209956328485381</v>
      </c>
    </row>
    <row r="12" spans="1:23">
      <c r="A12" s="5" t="s">
        <v>21</v>
      </c>
      <c r="B12">
        <v>2.6499999999999999E-2</v>
      </c>
      <c r="C12">
        <v>5.0369999999999999</v>
      </c>
      <c r="E12">
        <f t="shared" si="1"/>
        <v>190.0754716981132</v>
      </c>
      <c r="G12" s="5">
        <v>37.898000000000003</v>
      </c>
      <c r="H12" s="5">
        <v>38.145000000000003</v>
      </c>
      <c r="I12" s="23">
        <v>38.208534454892217</v>
      </c>
      <c r="J12" s="24">
        <v>38.421726092494616</v>
      </c>
      <c r="K12">
        <v>4.7640000000000002</v>
      </c>
      <c r="L12" s="25">
        <f t="shared" si="2"/>
        <v>7.2034802264150946</v>
      </c>
      <c r="M12" s="14">
        <f t="shared" si="3"/>
        <v>7.250428867924529</v>
      </c>
      <c r="N12" s="14">
        <f t="shared" si="4"/>
        <v>7.2625052094072489</v>
      </c>
      <c r="O12" s="14">
        <f t="shared" si="5"/>
        <v>7.3030277104866181</v>
      </c>
      <c r="S12" t="s">
        <v>58</v>
      </c>
      <c r="T12" s="14">
        <f>AVERAGE(L19:L20)</f>
        <v>5.516406688521724</v>
      </c>
      <c r="U12" s="14">
        <f>AVERAGE(M19:M20)</f>
        <v>5.5741269452312263</v>
      </c>
      <c r="V12" s="14">
        <f>AVERAGE(N19:N20)</f>
        <v>5.9026219380050415</v>
      </c>
      <c r="W12" s="14">
        <f>AVERAGE(O19:O20)</f>
        <v>5.9524324876666848</v>
      </c>
    </row>
    <row r="13" spans="1:23">
      <c r="A13" s="5" t="s">
        <v>22</v>
      </c>
      <c r="B13">
        <v>2.4E-2</v>
      </c>
      <c r="C13">
        <v>5.0533999999999999</v>
      </c>
      <c r="E13">
        <f t="shared" si="1"/>
        <v>210.55833333333334</v>
      </c>
      <c r="G13" s="5">
        <v>28.047999999999998</v>
      </c>
      <c r="H13" s="5">
        <v>28.123999999999999</v>
      </c>
      <c r="I13" s="23">
        <v>30.360778817765837</v>
      </c>
      <c r="J13" s="24">
        <v>30.42666019988242</v>
      </c>
      <c r="L13" s="14">
        <f t="shared" si="2"/>
        <v>5.9057401333333335</v>
      </c>
      <c r="M13" s="14">
        <f t="shared" si="3"/>
        <v>5.9217425666666665</v>
      </c>
      <c r="N13" s="14">
        <f t="shared" si="4"/>
        <v>6.3927149865707458</v>
      </c>
      <c r="O13" s="14">
        <f t="shared" si="5"/>
        <v>6.4065868605869101</v>
      </c>
      <c r="S13" t="s">
        <v>59</v>
      </c>
      <c r="T13" s="14">
        <f>AVERAGE(L21:L22)</f>
        <v>5.4214805262164978</v>
      </c>
      <c r="U13" s="14">
        <f>AVERAGE(M21:M22)</f>
        <v>5.4552297340294054</v>
      </c>
      <c r="V13" s="14">
        <f>AVERAGE(N21:N22)</f>
        <v>5.9390647098574734</v>
      </c>
      <c r="W13" s="14">
        <f>AVERAGE(O21:O22)</f>
        <v>5.9683527907784164</v>
      </c>
    </row>
    <row r="14" spans="1:23">
      <c r="A14" s="5" t="s">
        <v>23</v>
      </c>
      <c r="B14">
        <v>2.4199999999999999E-2</v>
      </c>
      <c r="C14">
        <v>5.0400999999999998</v>
      </c>
      <c r="E14">
        <f t="shared" si="1"/>
        <v>208.2685950413223</v>
      </c>
      <c r="G14" s="5">
        <v>22.873000000000001</v>
      </c>
      <c r="H14" s="5">
        <v>23.149000000000001</v>
      </c>
      <c r="I14" s="23">
        <v>25.866823347292961</v>
      </c>
      <c r="J14" s="24">
        <v>26.105596511855769</v>
      </c>
      <c r="L14" s="25">
        <f t="shared" si="2"/>
        <v>4.763727574380165</v>
      </c>
      <c r="M14" s="14">
        <f t="shared" si="3"/>
        <v>4.8212097066115707</v>
      </c>
      <c r="N14" s="14">
        <f t="shared" si="4"/>
        <v>5.3872469567227785</v>
      </c>
      <c r="O14" s="14">
        <f t="shared" si="5"/>
        <v>5.4369759082398454</v>
      </c>
    </row>
    <row r="15" spans="1:23">
      <c r="A15" s="5" t="s">
        <v>24</v>
      </c>
      <c r="B15">
        <v>2.5899999999999999E-2</v>
      </c>
      <c r="C15">
        <v>5.0369999999999999</v>
      </c>
      <c r="E15">
        <f t="shared" si="1"/>
        <v>194.47876447876448</v>
      </c>
      <c r="G15" s="5">
        <v>14.888999999999999</v>
      </c>
      <c r="H15" s="5">
        <v>15.095000000000001</v>
      </c>
      <c r="I15" s="23">
        <v>18.94075259857339</v>
      </c>
      <c r="J15" s="24">
        <v>19.118380658436212</v>
      </c>
      <c r="L15" s="14">
        <f t="shared" si="2"/>
        <v>2.8955943243243243</v>
      </c>
      <c r="M15" s="14">
        <f t="shared" si="3"/>
        <v>2.9356569498069498</v>
      </c>
      <c r="N15" s="14">
        <f t="shared" si="4"/>
        <v>3.6835741636685002</v>
      </c>
      <c r="O15" s="14">
        <f t="shared" si="5"/>
        <v>3.7181190492873823</v>
      </c>
      <c r="S15" t="s">
        <v>60</v>
      </c>
      <c r="T15" s="14">
        <f>AVERAGE(L24:L25)</f>
        <v>5.8608297209016396</v>
      </c>
      <c r="U15" s="14">
        <f>AVERAGE(M24:M25)</f>
        <v>5.931647883196721</v>
      </c>
      <c r="V15" s="14">
        <f>AVERAGE(N24:N25)</f>
        <v>6.3279173707208196</v>
      </c>
      <c r="W15" s="14">
        <f>AVERAGE(O24:O25)</f>
        <v>6.3899944477935069</v>
      </c>
    </row>
    <row r="16" spans="1:23">
      <c r="I16" s="24"/>
      <c r="J16" s="24"/>
      <c r="L16" s="14"/>
      <c r="M16" s="14"/>
      <c r="N16" s="14"/>
      <c r="O16" s="14"/>
      <c r="S16" t="s">
        <v>61</v>
      </c>
      <c r="T16" s="14">
        <f>AVERAGE(L26:L27)</f>
        <v>5.089916959839357</v>
      </c>
      <c r="U16" s="14">
        <f>AVERAGE(M26:M27)</f>
        <v>5.1952972488000775</v>
      </c>
      <c r="V16" s="14">
        <f>AVERAGE(N26:N27)</f>
        <v>5.6888256562220381</v>
      </c>
      <c r="W16" s="14">
        <f>AVERAGE(O26:O27)</f>
        <v>5.7816591891711422</v>
      </c>
    </row>
    <row r="17" spans="1:23">
      <c r="A17" s="4" t="s">
        <v>25</v>
      </c>
      <c r="B17">
        <v>2.4799999999999999E-2</v>
      </c>
      <c r="C17">
        <v>5.0594999999999999</v>
      </c>
      <c r="E17">
        <f t="shared" si="1"/>
        <v>204.01209677419354</v>
      </c>
      <c r="G17" s="4">
        <v>28.558</v>
      </c>
      <c r="H17" s="4">
        <v>28.792999999999999</v>
      </c>
      <c r="I17" s="23">
        <v>30.522963630747572</v>
      </c>
      <c r="J17" s="24">
        <v>30.725335243974133</v>
      </c>
      <c r="L17" s="14">
        <f t="shared" si="2"/>
        <v>5.8261774596774192</v>
      </c>
      <c r="M17" s="14">
        <f t="shared" si="3"/>
        <v>5.8741203024193549</v>
      </c>
      <c r="N17" s="14">
        <f t="shared" si="4"/>
        <v>6.227053810071264</v>
      </c>
      <c r="O17" s="14">
        <f t="shared" si="5"/>
        <v>6.2683400672131908</v>
      </c>
      <c r="S17" t="s">
        <v>62</v>
      </c>
      <c r="T17" s="14">
        <f>AVERAGE(L28:L29)</f>
        <v>3.3507738296017529</v>
      </c>
      <c r="U17" s="14">
        <f>AVERAGE(M28:M29)</f>
        <v>3.3494179193661076</v>
      </c>
      <c r="V17" s="14">
        <f>AVERAGE(N28:N29)</f>
        <v>4.0628038166490672</v>
      </c>
      <c r="W17" s="14">
        <f>AVERAGE(O28:O29)</f>
        <v>4.0608959401208491</v>
      </c>
    </row>
    <row r="18" spans="1:23">
      <c r="A18" s="4" t="s">
        <v>26</v>
      </c>
      <c r="B18">
        <v>2.4500000000000001E-2</v>
      </c>
      <c r="C18">
        <v>5.0353000000000003</v>
      </c>
      <c r="E18">
        <f t="shared" si="1"/>
        <v>205.52244897959184</v>
      </c>
      <c r="G18" s="4">
        <v>25.411000000000001</v>
      </c>
      <c r="H18" s="4">
        <v>25.422999999999998</v>
      </c>
      <c r="I18" s="23">
        <v>28.081578826385844</v>
      </c>
      <c r="J18" s="24">
        <v>28.092557417205565</v>
      </c>
      <c r="L18" s="14">
        <f t="shared" si="2"/>
        <v>5.222530951020409</v>
      </c>
      <c r="M18" s="14">
        <f t="shared" si="3"/>
        <v>5.2249972204081629</v>
      </c>
      <c r="N18" s="14">
        <f t="shared" si="4"/>
        <v>5.7713948516122713</v>
      </c>
      <c r="O18" s="14">
        <f t="shared" si="5"/>
        <v>5.7736511984838854</v>
      </c>
    </row>
    <row r="19" spans="1:23">
      <c r="A19" s="4" t="s">
        <v>27</v>
      </c>
      <c r="B19">
        <v>2.46E-2</v>
      </c>
      <c r="C19">
        <v>5.0464000000000002</v>
      </c>
      <c r="E19">
        <f t="shared" si="1"/>
        <v>205.13821138211384</v>
      </c>
      <c r="G19" s="4">
        <v>26.686</v>
      </c>
      <c r="H19" s="4">
        <v>26.895</v>
      </c>
      <c r="I19" s="23">
        <v>29.131267823663357</v>
      </c>
      <c r="J19" s="24">
        <v>29.313332304526746</v>
      </c>
      <c r="L19" s="14">
        <f t="shared" si="2"/>
        <v>5.47431830894309</v>
      </c>
      <c r="M19" s="14">
        <f t="shared" si="3"/>
        <v>5.5171921951219511</v>
      </c>
      <c r="N19" s="14">
        <f t="shared" si="4"/>
        <v>5.9759361766396246</v>
      </c>
      <c r="O19" s="14">
        <f t="shared" si="5"/>
        <v>6.0132845586001533</v>
      </c>
      <c r="T19" s="14"/>
    </row>
    <row r="20" spans="1:23">
      <c r="A20" s="4" t="s">
        <v>28</v>
      </c>
      <c r="B20">
        <v>2.7900000000000001E-2</v>
      </c>
      <c r="C20">
        <v>5.0488999999999997</v>
      </c>
      <c r="E20">
        <f t="shared" si="1"/>
        <v>180.96415770609318</v>
      </c>
      <c r="G20" s="4">
        <v>30.716000000000001</v>
      </c>
      <c r="H20" s="4">
        <v>31.117000000000001</v>
      </c>
      <c r="I20" s="23">
        <v>32.212498724957079</v>
      </c>
      <c r="J20" s="24">
        <v>32.556615030374289</v>
      </c>
      <c r="L20" s="14">
        <f t="shared" si="2"/>
        <v>5.558495068100358</v>
      </c>
      <c r="M20" s="14">
        <f t="shared" si="3"/>
        <v>5.6310616953405015</v>
      </c>
      <c r="N20" s="14">
        <f t="shared" si="4"/>
        <v>5.8293076993704585</v>
      </c>
      <c r="O20" s="14">
        <f t="shared" si="5"/>
        <v>5.8915804167332162</v>
      </c>
      <c r="T20" s="14" t="s">
        <v>63</v>
      </c>
    </row>
    <row r="21" spans="1:23">
      <c r="A21" s="4" t="s">
        <v>29</v>
      </c>
      <c r="B21">
        <v>2.4400000000000002E-2</v>
      </c>
      <c r="C21">
        <v>5.0669000000000004</v>
      </c>
      <c r="E21">
        <f t="shared" si="1"/>
        <v>207.65983606557378</v>
      </c>
      <c r="G21" s="4">
        <v>27.318000000000001</v>
      </c>
      <c r="H21" s="4">
        <v>27.457000000000001</v>
      </c>
      <c r="I21" s="23">
        <v>29.822348557226078</v>
      </c>
      <c r="J21" s="24">
        <v>29.943901577503432</v>
      </c>
      <c r="L21" s="14">
        <f t="shared" si="2"/>
        <v>5.6728514016393445</v>
      </c>
      <c r="M21" s="14">
        <f t="shared" si="3"/>
        <v>5.7017161188524597</v>
      </c>
      <c r="N21" s="14">
        <f t="shared" si="4"/>
        <v>6.192904012483968</v>
      </c>
      <c r="O21" s="14">
        <f t="shared" si="5"/>
        <v>6.2181456927480392</v>
      </c>
    </row>
    <row r="22" spans="1:23">
      <c r="A22" s="4" t="s">
        <v>30</v>
      </c>
      <c r="B22">
        <v>2.52E-2</v>
      </c>
      <c r="C22">
        <v>5.0444000000000004</v>
      </c>
      <c r="E22">
        <f t="shared" si="1"/>
        <v>200.17460317460319</v>
      </c>
      <c r="G22" s="4">
        <v>25.827999999999999</v>
      </c>
      <c r="H22" s="4">
        <v>26.021000000000001</v>
      </c>
      <c r="I22" s="23">
        <v>28.401332222310018</v>
      </c>
      <c r="J22" s="24">
        <v>28.567859249461101</v>
      </c>
      <c r="L22" s="14">
        <f t="shared" si="2"/>
        <v>5.170109650793651</v>
      </c>
      <c r="M22" s="14">
        <f t="shared" si="3"/>
        <v>5.2087433492063502</v>
      </c>
      <c r="N22" s="14">
        <f t="shared" si="4"/>
        <v>5.6852254072309787</v>
      </c>
      <c r="O22" s="14">
        <f t="shared" si="5"/>
        <v>5.7185598888087936</v>
      </c>
      <c r="T22" t="s">
        <v>64</v>
      </c>
    </row>
    <row r="23" spans="1:23">
      <c r="I23" s="24"/>
      <c r="J23" s="24"/>
      <c r="L23" s="14"/>
      <c r="M23" s="14"/>
      <c r="N23" s="14"/>
      <c r="O23" s="14"/>
      <c r="R23" t="s">
        <v>65</v>
      </c>
    </row>
    <row r="24" spans="1:23">
      <c r="A24" s="3" t="s">
        <v>31</v>
      </c>
      <c r="B24">
        <v>2.4400000000000002E-2</v>
      </c>
      <c r="C24">
        <v>5.0911</v>
      </c>
      <c r="E24">
        <f t="shared" si="1"/>
        <v>208.65163934426229</v>
      </c>
      <c r="G24" s="3">
        <v>30.617000000000001</v>
      </c>
      <c r="H24" s="3">
        <v>30.937000000000001</v>
      </c>
      <c r="I24" s="23">
        <v>32.729617379373764</v>
      </c>
      <c r="J24" s="24">
        <v>33.00936679404272</v>
      </c>
      <c r="L24" s="14">
        <f t="shared" si="2"/>
        <v>6.3882872418032788</v>
      </c>
      <c r="M24" s="14">
        <f t="shared" si="3"/>
        <v>6.4550557663934427</v>
      </c>
      <c r="N24" s="14">
        <f t="shared" si="4"/>
        <v>6.8290883213167932</v>
      </c>
      <c r="O24" s="14">
        <f t="shared" si="5"/>
        <v>6.8874584952930693</v>
      </c>
      <c r="R24">
        <f>5*5/6</f>
        <v>4.166666666666667</v>
      </c>
      <c r="S24" t="s">
        <v>66</v>
      </c>
      <c r="T24" s="14">
        <f>AVERAGE(T3:T5)</f>
        <v>5.9715623669576798</v>
      </c>
      <c r="U24" s="14">
        <f t="shared" ref="U24:W24" si="6">AVERAGE(U3:U5)</f>
        <v>6.0099924669797309</v>
      </c>
      <c r="V24" s="14">
        <f t="shared" si="6"/>
        <v>6.7786552145351591</v>
      </c>
      <c r="W24" s="14">
        <f t="shared" si="6"/>
        <v>6.813789312942288</v>
      </c>
    </row>
    <row r="25" spans="1:23">
      <c r="A25" s="3" t="s">
        <v>32</v>
      </c>
      <c r="B25">
        <v>2.5000000000000001E-2</v>
      </c>
      <c r="C25">
        <v>5.0449999999999999</v>
      </c>
      <c r="E25">
        <f t="shared" si="1"/>
        <v>201.79999999999998</v>
      </c>
      <c r="G25" s="3">
        <v>26.428999999999998</v>
      </c>
      <c r="H25" s="3">
        <v>26.8</v>
      </c>
      <c r="I25" s="23">
        <v>28.873867294969507</v>
      </c>
      <c r="J25" s="24">
        <v>29.199853321575542</v>
      </c>
      <c r="L25" s="14">
        <f t="shared" si="2"/>
        <v>5.3333721999999995</v>
      </c>
      <c r="M25" s="14">
        <f t="shared" si="3"/>
        <v>5.4082399999999993</v>
      </c>
      <c r="N25" s="14">
        <f t="shared" si="4"/>
        <v>5.826746420124846</v>
      </c>
      <c r="O25" s="14">
        <f t="shared" si="5"/>
        <v>5.8925304002939436</v>
      </c>
      <c r="R25">
        <f>5*5/6</f>
        <v>4.166666666666667</v>
      </c>
      <c r="S25" s="8" t="s">
        <v>67</v>
      </c>
      <c r="T25" s="25">
        <f>_xlfn.CHISQ.TEST(T3:T5, T37:T39)</f>
        <v>0.98691288593769133</v>
      </c>
      <c r="U25" s="25">
        <f t="shared" ref="U25:W25" si="7">_xlfn.CHISQ.TEST(U3:U5, U37:U39)</f>
        <v>0.9884876063999628</v>
      </c>
      <c r="V25" s="25">
        <f t="shared" si="7"/>
        <v>0.98087449103936775</v>
      </c>
      <c r="W25" s="25">
        <f t="shared" si="7"/>
        <v>0.98279772790173281</v>
      </c>
    </row>
    <row r="26" spans="1:23">
      <c r="A26" s="3" t="s">
        <v>33</v>
      </c>
      <c r="B26">
        <v>2.4899999999999999E-2</v>
      </c>
      <c r="C26">
        <v>5.0484</v>
      </c>
      <c r="E26">
        <f t="shared" si="1"/>
        <v>202.74698795180723</v>
      </c>
      <c r="G26" s="3">
        <v>27.721</v>
      </c>
      <c r="H26" s="3">
        <v>28.21</v>
      </c>
      <c r="I26" s="23">
        <v>30.73393435145211</v>
      </c>
      <c r="J26" s="24">
        <v>31.173996962571035</v>
      </c>
      <c r="L26" s="14">
        <f t="shared" si="2"/>
        <v>5.6203492530120487</v>
      </c>
      <c r="M26" s="14">
        <f t="shared" si="3"/>
        <v>5.7194925301204824</v>
      </c>
      <c r="N26" s="14">
        <f t="shared" si="4"/>
        <v>6.2312126176654949</v>
      </c>
      <c r="O26" s="14">
        <f t="shared" si="5"/>
        <v>6.3204339865800652</v>
      </c>
      <c r="R26">
        <f>5*5/6</f>
        <v>4.166666666666667</v>
      </c>
      <c r="S26" t="s">
        <v>68</v>
      </c>
      <c r="T26" s="14">
        <f>_xlfn.CHISQ.TEST(T3:T5,$R$24:$R$26)</f>
        <v>0.30372475664195114</v>
      </c>
      <c r="U26" s="14">
        <f t="shared" ref="U26:W26" si="8">_xlfn.CHISQ.TEST(U3:U5,$R$24:$R$26)</f>
        <v>0.28940511739173397</v>
      </c>
      <c r="V26" s="14">
        <f t="shared" si="8"/>
        <v>8.3116623838725853E-2</v>
      </c>
      <c r="W26" s="14">
        <f t="shared" si="8"/>
        <v>7.8004497205583306E-2</v>
      </c>
    </row>
    <row r="27" spans="1:23">
      <c r="A27" s="3" t="s">
        <v>34</v>
      </c>
      <c r="B27">
        <v>2.46E-2</v>
      </c>
      <c r="C27">
        <v>5.0473999999999997</v>
      </c>
      <c r="E27">
        <f t="shared" si="1"/>
        <v>205.17886178861787</v>
      </c>
      <c r="G27" s="3">
        <v>22.222000000000001</v>
      </c>
      <c r="H27" s="3">
        <v>22.765999999999998</v>
      </c>
      <c r="I27" s="23">
        <v>25.082694435066195</v>
      </c>
      <c r="J27" s="24">
        <v>25.552751126788166</v>
      </c>
      <c r="L27" s="14">
        <f t="shared" si="2"/>
        <v>4.5594846666666662</v>
      </c>
      <c r="M27" s="14">
        <f t="shared" si="3"/>
        <v>4.6711019674796734</v>
      </c>
      <c r="N27" s="14">
        <f t="shared" si="4"/>
        <v>5.1464386947785812</v>
      </c>
      <c r="O27" s="14">
        <f t="shared" si="5"/>
        <v>5.2428843917622183</v>
      </c>
    </row>
    <row r="28" spans="1:23">
      <c r="A28" s="3" t="s">
        <v>35</v>
      </c>
      <c r="B28">
        <v>2.46E-2</v>
      </c>
      <c r="C28">
        <v>5.0338000000000003</v>
      </c>
      <c r="E28">
        <f t="shared" si="1"/>
        <v>204.6260162601626</v>
      </c>
      <c r="G28" s="3">
        <v>18.548999999999999</v>
      </c>
      <c r="H28" s="3">
        <v>18.667999999999999</v>
      </c>
      <c r="I28" s="23">
        <v>21.992380630840952</v>
      </c>
      <c r="J28" s="24">
        <v>22.093513325494804</v>
      </c>
      <c r="L28" s="14">
        <f t="shared" si="2"/>
        <v>3.795607975609756</v>
      </c>
      <c r="M28" s="14">
        <f t="shared" si="3"/>
        <v>3.8199584715447155</v>
      </c>
      <c r="N28" s="14">
        <f t="shared" si="4"/>
        <v>4.5002132365661458</v>
      </c>
      <c r="O28" s="14">
        <f t="shared" si="5"/>
        <v>4.5209076169868192</v>
      </c>
      <c r="S28" t="s">
        <v>69</v>
      </c>
      <c r="T28" s="14">
        <f>AVERAGE(T7:T9)</f>
        <v>7.0327173450048797</v>
      </c>
      <c r="U28" s="14">
        <f>AVERAGE(U7:U9)</f>
        <v>7.079519510055583</v>
      </c>
      <c r="V28" s="14">
        <f>AVERAGE(V7:V9)</f>
        <v>6.8091456086063742</v>
      </c>
      <c r="W28" s="14">
        <f>AVERAGE(W7:W9)</f>
        <v>6.84709677064322</v>
      </c>
    </row>
    <row r="29" spans="1:23">
      <c r="A29" s="3" t="s">
        <v>36</v>
      </c>
      <c r="B29">
        <v>2.5600000000000001E-2</v>
      </c>
      <c r="C29">
        <v>5.0568999999999997</v>
      </c>
      <c r="E29">
        <f t="shared" si="1"/>
        <v>197.53515624999997</v>
      </c>
      <c r="G29" s="3">
        <v>14.711</v>
      </c>
      <c r="H29" s="3">
        <v>14.574</v>
      </c>
      <c r="I29" s="23">
        <v>18.353160346524337</v>
      </c>
      <c r="J29" s="24">
        <v>18.229080491867531</v>
      </c>
      <c r="L29" s="14">
        <f t="shared" si="2"/>
        <v>2.9059396835937497</v>
      </c>
      <c r="M29" s="14">
        <f t="shared" si="3"/>
        <v>2.8788773671874996</v>
      </c>
      <c r="N29" s="14">
        <f t="shared" si="4"/>
        <v>3.6253943967319886</v>
      </c>
      <c r="O29" s="14">
        <f t="shared" si="5"/>
        <v>3.6008842632548794</v>
      </c>
      <c r="S29" s="8" t="s">
        <v>67</v>
      </c>
      <c r="T29" s="25">
        <f>_xlfn.CHISQ.TEST(T7:T9, T41:T43)</f>
        <v>0.1810300934525905</v>
      </c>
      <c r="U29" s="25">
        <f t="shared" ref="U29:W29" si="9">_xlfn.CHISQ.TEST(U7:U9, U41:U43)</f>
        <v>0.18178848607050901</v>
      </c>
      <c r="V29" s="25">
        <f t="shared" si="9"/>
        <v>0.47088642755762455</v>
      </c>
      <c r="W29" s="25">
        <f t="shared" si="9"/>
        <v>0.4724982365817737</v>
      </c>
    </row>
    <row r="30" spans="1:23">
      <c r="S30" t="s">
        <v>68</v>
      </c>
      <c r="T30" s="14">
        <f>_xlfn.CHISQ.TEST(T7:T9,$R$24:$R$26)</f>
        <v>2.9035435786821115E-3</v>
      </c>
      <c r="U30" s="14">
        <f t="shared" ref="U30:W30" si="10">_xlfn.CHISQ.TEST(U7:U9,$R$24:$R$26)</f>
        <v>2.602493886120368E-3</v>
      </c>
      <c r="V30" s="14">
        <f t="shared" si="10"/>
        <v>2.3646384255069208E-2</v>
      </c>
      <c r="W30" s="14">
        <f t="shared" si="10"/>
        <v>2.1960423742157151E-2</v>
      </c>
    </row>
    <row r="31" spans="1:23">
      <c r="S31" t="s">
        <v>70</v>
      </c>
      <c r="T31" s="14">
        <f>AVERAGE(T11:T13)</f>
        <v>5.4874138066957121</v>
      </c>
      <c r="U31" s="14">
        <f>AVERAGE(U11:U13)</f>
        <v>5.5263051468914632</v>
      </c>
      <c r="V31" s="14">
        <f>AVERAGE(V11:V13)</f>
        <v>5.9469703262347613</v>
      </c>
      <c r="W31" s="14">
        <f>AVERAGE(W11:W13)</f>
        <v>5.9805936370978801</v>
      </c>
    </row>
    <row r="32" spans="1:23">
      <c r="S32" s="8" t="s">
        <v>67</v>
      </c>
      <c r="T32" s="25">
        <f>_xlfn.CHISQ.TEST(T11:T13, T45:T47)</f>
        <v>0.99940314123026752</v>
      </c>
      <c r="U32" s="25">
        <f t="shared" ref="U32:W32" si="11">_xlfn.CHISQ.TEST(U11:U13, U45:U47)</f>
        <v>0.99928735736010821</v>
      </c>
      <c r="V32" s="25">
        <f t="shared" si="11"/>
        <v>0.99959989652010584</v>
      </c>
      <c r="W32" s="25">
        <f t="shared" si="11"/>
        <v>0.99978472599252177</v>
      </c>
    </row>
    <row r="33" spans="1:23">
      <c r="A33" s="8" t="s">
        <v>71</v>
      </c>
      <c r="S33" t="s">
        <v>68</v>
      </c>
      <c r="T33" s="14">
        <f>_xlfn.CHISQ.TEST(T11:T13,$R$24:$R$26)</f>
        <v>0.53325232148846979</v>
      </c>
      <c r="U33" s="14">
        <f t="shared" ref="U33:W33" si="12">_xlfn.CHISQ.TEST(U11:U13,$R$24:$R$26)</f>
        <v>0.51352961871814284</v>
      </c>
      <c r="V33" s="14">
        <f t="shared" si="12"/>
        <v>0.31931270994056632</v>
      </c>
      <c r="W33" s="14">
        <f t="shared" si="12"/>
        <v>0.30579870978249218</v>
      </c>
    </row>
    <row r="34" spans="1:23">
      <c r="S34" t="s">
        <v>72</v>
      </c>
      <c r="T34" s="14">
        <f>AVERAGE(T15:T17)</f>
        <v>4.7671735034475828</v>
      </c>
      <c r="U34" s="14">
        <f>AVERAGE(U15:U17)</f>
        <v>4.8254543504543017</v>
      </c>
      <c r="V34" s="14">
        <f>AVERAGE(V15:V17)</f>
        <v>5.3598489478639761</v>
      </c>
      <c r="W34" s="14">
        <f>AVERAGE(W15:W17)</f>
        <v>5.4108498590284997</v>
      </c>
    </row>
    <row r="35" spans="1:23">
      <c r="S35" s="8" t="s">
        <v>67</v>
      </c>
      <c r="T35" s="25">
        <f>_xlfn.CHISQ.TEST(T15:T17,T49:T51)</f>
        <v>0.70695235687118829</v>
      </c>
      <c r="U35" s="25">
        <f t="shared" ref="U35:W35" si="13">_xlfn.CHISQ.TEST(U15:U17,U49:U51)</f>
        <v>0.6930072343018514</v>
      </c>
      <c r="V35" s="25">
        <f t="shared" si="13"/>
        <v>0.77533695422857218</v>
      </c>
      <c r="W35" s="25">
        <f t="shared" si="13"/>
        <v>0.76360947014158631</v>
      </c>
    </row>
    <row r="36" spans="1:23">
      <c r="B36" t="s">
        <v>73</v>
      </c>
      <c r="C36" t="s">
        <v>74</v>
      </c>
      <c r="D36" t="s">
        <v>75</v>
      </c>
      <c r="I36" t="s">
        <v>41</v>
      </c>
      <c r="S36" t="s">
        <v>68</v>
      </c>
      <c r="T36">
        <f>_xlfn.CHISQ.TEST(T15:T17,$R$24:$R$26)</f>
        <v>0.59061478178206006</v>
      </c>
      <c r="U36">
        <f t="shared" ref="U36:W36" si="14">_xlfn.CHISQ.TEST(U15:U17,$R$24:$R$26)</f>
        <v>0.55937442935545878</v>
      </c>
      <c r="V36">
        <f t="shared" si="14"/>
        <v>0.43177476223342298</v>
      </c>
      <c r="W36">
        <f t="shared" si="14"/>
        <v>0.40352817548082331</v>
      </c>
    </row>
    <row r="37" spans="1:23">
      <c r="A37" t="s">
        <v>76</v>
      </c>
      <c r="B37">
        <v>0.35</v>
      </c>
      <c r="C37">
        <v>0</v>
      </c>
      <c r="D37">
        <f>C37+B37</f>
        <v>0.35</v>
      </c>
      <c r="I37" t="s">
        <v>77</v>
      </c>
      <c r="T37" s="14">
        <f>T$24</f>
        <v>5.9715623669576798</v>
      </c>
      <c r="U37" s="14">
        <f t="shared" ref="U37:W37" si="15">U$24</f>
        <v>6.0099924669797309</v>
      </c>
      <c r="V37" s="14">
        <f t="shared" si="15"/>
        <v>6.7786552145351591</v>
      </c>
      <c r="W37" s="14">
        <f t="shared" si="15"/>
        <v>6.813789312942288</v>
      </c>
    </row>
    <row r="38" spans="1:23">
      <c r="A38" t="s">
        <v>78</v>
      </c>
      <c r="B38">
        <v>1.25</v>
      </c>
      <c r="C38">
        <f>D37</f>
        <v>0.35</v>
      </c>
      <c r="D38">
        <f t="shared" ref="D38:D44" si="16">C38+B38</f>
        <v>1.6</v>
      </c>
      <c r="I38" t="s">
        <v>79</v>
      </c>
      <c r="L38" t="s">
        <v>80</v>
      </c>
      <c r="O38" t="s">
        <v>81</v>
      </c>
      <c r="T38" s="14">
        <f t="shared" ref="T38:W39" si="17">T$24</f>
        <v>5.9715623669576798</v>
      </c>
      <c r="U38" s="14">
        <f t="shared" si="17"/>
        <v>6.0099924669797309</v>
      </c>
      <c r="V38" s="14">
        <f t="shared" si="17"/>
        <v>6.7786552145351591</v>
      </c>
      <c r="W38" s="14">
        <f t="shared" si="17"/>
        <v>6.813789312942288</v>
      </c>
    </row>
    <row r="39" spans="1:23">
      <c r="A39" s="8" t="s">
        <v>82</v>
      </c>
      <c r="B39">
        <v>9.8602600000000002</v>
      </c>
      <c r="C39">
        <f t="shared" ref="C39:C44" si="18">D38</f>
        <v>1.6</v>
      </c>
      <c r="D39">
        <f t="shared" si="16"/>
        <v>11.46026</v>
      </c>
      <c r="T39" s="14">
        <f t="shared" si="17"/>
        <v>5.9715623669576798</v>
      </c>
      <c r="U39" s="14">
        <f t="shared" si="17"/>
        <v>6.0099924669797309</v>
      </c>
      <c r="V39" s="14">
        <f t="shared" si="17"/>
        <v>6.7786552145351591</v>
      </c>
      <c r="W39" s="14">
        <f t="shared" si="17"/>
        <v>6.813789312942288</v>
      </c>
    </row>
    <row r="40" spans="1:23">
      <c r="A40" t="s">
        <v>83</v>
      </c>
      <c r="B40">
        <v>2.5</v>
      </c>
      <c r="C40">
        <f t="shared" si="18"/>
        <v>11.46026</v>
      </c>
      <c r="D40">
        <f t="shared" si="16"/>
        <v>13.96026</v>
      </c>
    </row>
    <row r="41" spans="1:23">
      <c r="A41" s="8" t="s">
        <v>84</v>
      </c>
      <c r="B41">
        <v>9.8602600000000002</v>
      </c>
      <c r="C41">
        <f t="shared" si="18"/>
        <v>13.96026</v>
      </c>
      <c r="D41">
        <f t="shared" si="16"/>
        <v>23.820520000000002</v>
      </c>
      <c r="S41" t="s">
        <v>85</v>
      </c>
      <c r="T41" s="14">
        <f>T$28</f>
        <v>7.0327173450048797</v>
      </c>
      <c r="U41" s="14">
        <f t="shared" ref="U41:W41" si="19">U$28</f>
        <v>7.079519510055583</v>
      </c>
      <c r="V41" s="14">
        <f t="shared" si="19"/>
        <v>6.8091456086063742</v>
      </c>
      <c r="W41" s="14">
        <f t="shared" si="19"/>
        <v>6.84709677064322</v>
      </c>
    </row>
    <row r="42" spans="1:23">
      <c r="A42" t="s">
        <v>86</v>
      </c>
      <c r="B42">
        <v>2.5</v>
      </c>
      <c r="C42">
        <f t="shared" si="18"/>
        <v>23.820520000000002</v>
      </c>
      <c r="D42">
        <f t="shared" si="16"/>
        <v>26.320520000000002</v>
      </c>
      <c r="T42" s="14">
        <f t="shared" ref="T42:W43" si="20">T$28</f>
        <v>7.0327173450048797</v>
      </c>
      <c r="U42" s="14">
        <f t="shared" si="20"/>
        <v>7.079519510055583</v>
      </c>
      <c r="V42" s="14">
        <f t="shared" si="20"/>
        <v>6.8091456086063742</v>
      </c>
      <c r="W42" s="14">
        <f t="shared" si="20"/>
        <v>6.84709677064322</v>
      </c>
    </row>
    <row r="43" spans="1:23">
      <c r="A43" s="8" t="s">
        <v>87</v>
      </c>
      <c r="B43">
        <v>9.8602600000000002</v>
      </c>
      <c r="C43">
        <f t="shared" si="18"/>
        <v>26.320520000000002</v>
      </c>
      <c r="D43">
        <f t="shared" si="16"/>
        <v>36.180779999999999</v>
      </c>
      <c r="T43" s="14">
        <f t="shared" si="20"/>
        <v>7.0327173450048797</v>
      </c>
      <c r="U43" s="14">
        <f t="shared" si="20"/>
        <v>7.079519510055583</v>
      </c>
      <c r="V43" s="14">
        <f t="shared" si="20"/>
        <v>6.8091456086063742</v>
      </c>
      <c r="W43" s="14">
        <f t="shared" si="20"/>
        <v>6.84709677064322</v>
      </c>
    </row>
    <row r="44" spans="1:23">
      <c r="A44" t="s">
        <v>88</v>
      </c>
      <c r="B44">
        <v>1.25</v>
      </c>
      <c r="C44">
        <f t="shared" si="18"/>
        <v>36.180779999999999</v>
      </c>
      <c r="D44">
        <f t="shared" si="16"/>
        <v>37.430779999999999</v>
      </c>
    </row>
    <row r="45" spans="1:23">
      <c r="T45" s="14">
        <f>T$31</f>
        <v>5.4874138066957121</v>
      </c>
      <c r="U45" s="14">
        <f t="shared" ref="U45:W45" si="21">U$31</f>
        <v>5.5263051468914632</v>
      </c>
      <c r="V45" s="14">
        <f t="shared" si="21"/>
        <v>5.9469703262347613</v>
      </c>
      <c r="W45" s="14">
        <f t="shared" si="21"/>
        <v>5.9805936370978801</v>
      </c>
    </row>
    <row r="46" spans="1:23">
      <c r="A46" t="s">
        <v>89</v>
      </c>
      <c r="B46" t="s">
        <v>90</v>
      </c>
      <c r="C46" t="s">
        <v>91</v>
      </c>
      <c r="D46" t="s">
        <v>92</v>
      </c>
      <c r="E46" t="s">
        <v>93</v>
      </c>
      <c r="T46" s="14">
        <f t="shared" ref="T46:W47" si="22">T$31</f>
        <v>5.4874138066957121</v>
      </c>
      <c r="U46" s="14">
        <f t="shared" si="22"/>
        <v>5.5263051468914632</v>
      </c>
      <c r="V46" s="14">
        <f t="shared" si="22"/>
        <v>5.9469703262347613</v>
      </c>
      <c r="W46" s="14">
        <f t="shared" si="22"/>
        <v>5.9805936370978801</v>
      </c>
    </row>
    <row r="47" spans="1:23">
      <c r="A47" s="8" t="s">
        <v>82</v>
      </c>
      <c r="B47" s="12">
        <v>1.6</v>
      </c>
      <c r="C47">
        <v>11.46</v>
      </c>
      <c r="D47" s="12">
        <f>AVERAGE(B47:C47)</f>
        <v>6.53</v>
      </c>
      <c r="E47" s="12">
        <f>C47-B47</f>
        <v>9.8600000000000012</v>
      </c>
      <c r="T47" s="14">
        <f t="shared" si="22"/>
        <v>5.4874138066957121</v>
      </c>
      <c r="U47" s="14">
        <f t="shared" si="22"/>
        <v>5.5263051468914632</v>
      </c>
      <c r="V47" s="14">
        <f t="shared" si="22"/>
        <v>5.9469703262347613</v>
      </c>
      <c r="W47" s="14">
        <f t="shared" si="22"/>
        <v>5.9805936370978801</v>
      </c>
    </row>
    <row r="48" spans="1:23">
      <c r="A48" s="8" t="s">
        <v>84</v>
      </c>
      <c r="B48">
        <v>13.96</v>
      </c>
      <c r="C48">
        <v>23.82</v>
      </c>
      <c r="D48" s="12">
        <f t="shared" ref="D48:D49" si="23">AVERAGE(B48:C48)</f>
        <v>18.89</v>
      </c>
      <c r="E48" s="12">
        <f t="shared" ref="E48:E49" si="24">C48-B48</f>
        <v>9.86</v>
      </c>
    </row>
    <row r="49" spans="1:23">
      <c r="A49" s="8" t="s">
        <v>87</v>
      </c>
      <c r="B49">
        <v>26.32</v>
      </c>
      <c r="C49">
        <v>36.18</v>
      </c>
      <c r="D49" s="12">
        <f t="shared" si="23"/>
        <v>31.25</v>
      </c>
      <c r="E49" s="12">
        <f t="shared" si="24"/>
        <v>9.86</v>
      </c>
      <c r="T49" s="14">
        <f>T$34</f>
        <v>4.7671735034475828</v>
      </c>
      <c r="U49" s="14">
        <f t="shared" ref="U49:W49" si="25">U$34</f>
        <v>4.8254543504543017</v>
      </c>
      <c r="V49" s="14">
        <f t="shared" si="25"/>
        <v>5.3598489478639761</v>
      </c>
      <c r="W49" s="14">
        <f t="shared" si="25"/>
        <v>5.4108498590284997</v>
      </c>
    </row>
    <row r="50" spans="1:23">
      <c r="T50" s="14">
        <f t="shared" ref="T50:W51" si="26">T$34</f>
        <v>4.7671735034475828</v>
      </c>
      <c r="U50" s="14">
        <f t="shared" si="26"/>
        <v>4.8254543504543017</v>
      </c>
      <c r="V50" s="14">
        <f t="shared" si="26"/>
        <v>5.3598489478639761</v>
      </c>
      <c r="W50" s="14">
        <f t="shared" si="26"/>
        <v>5.4108498590284997</v>
      </c>
    </row>
    <row r="51" spans="1:23">
      <c r="T51" s="14">
        <f t="shared" si="26"/>
        <v>4.7671735034475828</v>
      </c>
      <c r="U51" s="14">
        <f t="shared" si="26"/>
        <v>4.8254543504543017</v>
      </c>
      <c r="V51" s="14">
        <f t="shared" si="26"/>
        <v>5.3598489478639761</v>
      </c>
      <c r="W51" s="14">
        <f t="shared" si="26"/>
        <v>5.4108498590284997</v>
      </c>
    </row>
    <row r="53" spans="1:23">
      <c r="S53" t="s">
        <v>94</v>
      </c>
      <c r="T53" s="14">
        <f>AVERAGE(L10,L12,L14)</f>
        <v>9.2241217755524438</v>
      </c>
      <c r="U53" s="14">
        <v>9.2240000000000002</v>
      </c>
      <c r="V53">
        <v>9.2240000000000002</v>
      </c>
    </row>
    <row r="54" spans="1:23">
      <c r="S54" s="8" t="s">
        <v>67</v>
      </c>
      <c r="T54">
        <f>_xlfn.CHISQ.TEST(K10:K12, T53:V53)</f>
        <v>2.7976471441655659E-2</v>
      </c>
    </row>
    <row r="55" spans="1:23">
      <c r="S55" t="s">
        <v>68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GODZINA, MAGDALENA (UG)</dc:creator>
  <cp:keywords/>
  <dc:description/>
  <cp:lastModifiedBy/>
  <cp:revision/>
  <dcterms:created xsi:type="dcterms:W3CDTF">2024-10-01T15:50:39Z</dcterms:created>
  <dcterms:modified xsi:type="dcterms:W3CDTF">2024-10-02T10:43:37Z</dcterms:modified>
  <cp:category/>
  <cp:contentStatus/>
</cp:coreProperties>
</file>